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p_la\Projekter\27. Benin_II_MCA\DOC DE TRAVAIL 2 OPTION\autres livrables\global\Communication\SITE WEB GUICHET UNIQUE\"/>
    </mc:Choice>
  </mc:AlternateContent>
  <xr:revisionPtr revIDLastSave="0" documentId="13_ncr:1_{D18E7912-D862-4A85-8B3B-BDEABA89E9B9}" xr6:coauthVersionLast="45" xr6:coauthVersionMax="45" xr10:uidLastSave="{00000000-0000-0000-0000-000000000000}"/>
  <bookViews>
    <workbookView xWindow="-108" yWindow="-108" windowWidth="22080" windowHeight="13176" xr2:uid="{00000000-000D-0000-FFFF-FFFF00000000}"/>
  </bookViews>
  <sheets>
    <sheet name="Titre" sheetId="5" r:id="rId1"/>
    <sheet name="Dimensionnement" sheetId="3" r:id="rId2"/>
    <sheet name="calcul de demande journalière" sheetId="7" r:id="rId3"/>
    <sheet name="Energie" sheetId="2" r:id="rId4"/>
    <sheet name="CAPEX" sheetId="4" r:id="rId5"/>
    <sheet name="Hypothèses détaillées" sheetId="1" r:id="rId6"/>
    <sheet name="Tarif " sheetId="6" r:id="rId7"/>
  </sheets>
  <externalReferences>
    <externalReference r:id="rId8"/>
  </externalReferences>
  <definedNames>
    <definedName name="COEFF_FOISON">Dimensionnement!$B$8</definedName>
    <definedName name="consommation_annuelle">'Tarif '!$C$23:$C$31</definedName>
    <definedName name="croiss_pop">[1]Hypothèses!$B$122</definedName>
    <definedName name="Currency">'Hypothèses détaillées'!$B$12</definedName>
    <definedName name="Currency2">'Hypothèses détaillées'!$B$13</definedName>
    <definedName name="DEMANDE_T1_KWH_JOUR">'calcul de demande journalière'!$C$19:$AA$19</definedName>
    <definedName name="DEMANDE_T2_KWH_JOUR">'calcul de demande journalière'!$C$20:$AA$20</definedName>
    <definedName name="DEMANDE_T3_KWH_JOUR">'calcul de demande journalière'!$C$21:$AA$21</definedName>
    <definedName name="DEMANDE_T4_KWH_JOUR">'calcul de demande journalière'!$C$22:$AA$22</definedName>
    <definedName name="DEMANDE_T5_KWH_JOUR">'calcul de demande journalière'!$C$23:$AA$23</definedName>
    <definedName name="DEMANDE_TOTALE_KWH_JOUR">'calcul de demande journalière'!$C$24:$AA$24</definedName>
    <definedName name="ExchRate">'Hypothèses détaillées'!$B$14</definedName>
    <definedName name="FIT">'[1]Tableau de bord'!$D$18</definedName>
    <definedName name="Grant">'Hypothèses détaillées'!$B$55</definedName>
    <definedName name="Grant_reinvest">'Hypothèses détaillées'!$B$69</definedName>
    <definedName name="_xlnm.Print_Titles" localSheetId="3">Energie!$A:$B</definedName>
    <definedName name="Inflation">'Hypothèses détaillées'!$B$8</definedName>
    <definedName name="NB_ABONNE">'Tarif '!$B$23:$B$31</definedName>
    <definedName name="NB_MEN">Dimensionnement!$B$5</definedName>
    <definedName name="PF_Amperage">'Tarif '!$E$23:$E$31</definedName>
    <definedName name="PF_recouvrement">'Tarif '!$D$23:$D$31</definedName>
    <definedName name="pop_an0">[1]Hypothèses!$B$120</definedName>
    <definedName name="Tarif_Variable_FCFA_kWh">'Tarif '!$F$23:$F$31</definedName>
    <definedName name="_xlnm.Print_Area" localSheetId="4">CAPEX!$A$1:$G$45</definedName>
    <definedName name="_xlnm.Print_Area" localSheetId="3">Energie!$A$1:$AB$40</definedName>
    <definedName name="_xlnm.Print_Area" localSheetId="5">'Hypothèses détaillées'!$A$1:$E$111</definedName>
    <definedName name="_xlnm.Print_Area" localSheetId="0">Titre!$A$1:$I$18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6" l="1"/>
  <c r="C32" i="6"/>
  <c r="G24" i="6"/>
  <c r="H24" i="6"/>
  <c r="J24" i="6"/>
  <c r="L24" i="6" s="1"/>
  <c r="M24" i="6"/>
  <c r="G25" i="6"/>
  <c r="J25" i="6" s="1"/>
  <c r="L25" i="6" s="1"/>
  <c r="H25" i="6"/>
  <c r="M25" i="6"/>
  <c r="G26" i="6"/>
  <c r="H26" i="6"/>
  <c r="J26" i="6"/>
  <c r="L26" i="6" s="1"/>
  <c r="M26" i="6"/>
  <c r="B24" i="6"/>
  <c r="B25" i="6"/>
  <c r="B26" i="6"/>
  <c r="B23" i="6"/>
  <c r="C28" i="6" l="1"/>
  <c r="C29" i="6"/>
  <c r="C30" i="6"/>
  <c r="C31" i="6"/>
  <c r="M31" i="6" s="1"/>
  <c r="D21" i="2"/>
  <c r="D22" i="2"/>
  <c r="D23" i="2"/>
  <c r="D24" i="2"/>
  <c r="D13" i="2"/>
  <c r="D14" i="2"/>
  <c r="D15" i="2"/>
  <c r="D16" i="2"/>
  <c r="D12" i="2"/>
  <c r="D20" i="2" s="1"/>
  <c r="C27" i="6" s="1"/>
  <c r="M28" i="6"/>
  <c r="M29" i="6"/>
  <c r="M30" i="6"/>
  <c r="B28" i="6"/>
  <c r="B29" i="6"/>
  <c r="B30" i="6"/>
  <c r="B31" i="6"/>
  <c r="B27" i="6"/>
  <c r="C23" i="6"/>
  <c r="M23" i="6" s="1"/>
  <c r="D28" i="7"/>
  <c r="E28" i="7"/>
  <c r="F28" i="7"/>
  <c r="G28" i="7"/>
  <c r="H28" i="7"/>
  <c r="I28" i="7"/>
  <c r="J28" i="7"/>
  <c r="K28" i="7"/>
  <c r="L28" i="7"/>
  <c r="M28" i="7"/>
  <c r="N28" i="7"/>
  <c r="O28" i="7"/>
  <c r="P28" i="7"/>
  <c r="Q28" i="7"/>
  <c r="R28" i="7"/>
  <c r="S28" i="7"/>
  <c r="T28" i="7"/>
  <c r="U28" i="7"/>
  <c r="V28" i="7"/>
  <c r="W28" i="7"/>
  <c r="X28" i="7"/>
  <c r="Y28" i="7"/>
  <c r="Z28" i="7"/>
  <c r="AA28" i="7"/>
  <c r="M27" i="6" l="1"/>
  <c r="B5" i="3"/>
  <c r="E19" i="2" l="1"/>
  <c r="F19" i="2" s="1"/>
  <c r="G19" i="2" s="1"/>
  <c r="H19" i="2" s="1"/>
  <c r="I19" i="2" s="1"/>
  <c r="J19" i="2" s="1"/>
  <c r="K19" i="2" s="1"/>
  <c r="L19" i="2" s="1"/>
  <c r="M19" i="2" s="1"/>
  <c r="N19" i="2" s="1"/>
  <c r="O19" i="2" s="1"/>
  <c r="P19" i="2" s="1"/>
  <c r="Q19" i="2" s="1"/>
  <c r="R19" i="2" s="1"/>
  <c r="S19" i="2" s="1"/>
  <c r="T19" i="2" s="1"/>
  <c r="U19" i="2" s="1"/>
  <c r="V19" i="2" s="1"/>
  <c r="W19" i="2" s="1"/>
  <c r="X19" i="2" s="1"/>
  <c r="Y19" i="2" s="1"/>
  <c r="Z19" i="2" s="1"/>
  <c r="AA19" i="2" s="1"/>
  <c r="AB19" i="2" s="1"/>
  <c r="E11" i="2"/>
  <c r="F11" i="2" s="1"/>
  <c r="G11" i="2" s="1"/>
  <c r="H11" i="2" s="1"/>
  <c r="I11" i="2" s="1"/>
  <c r="J11" i="2" s="1"/>
  <c r="K11" i="2" s="1"/>
  <c r="L11" i="2" s="1"/>
  <c r="M11" i="2" s="1"/>
  <c r="N11" i="2" s="1"/>
  <c r="O11" i="2" s="1"/>
  <c r="P11" i="2" s="1"/>
  <c r="Q11" i="2" s="1"/>
  <c r="R11" i="2" s="1"/>
  <c r="S11" i="2" s="1"/>
  <c r="T11" i="2" s="1"/>
  <c r="U11" i="2" s="1"/>
  <c r="V11" i="2" s="1"/>
  <c r="W11" i="2" s="1"/>
  <c r="X11" i="2" s="1"/>
  <c r="Y11" i="2" s="1"/>
  <c r="Z11" i="2" s="1"/>
  <c r="AA11" i="2" s="1"/>
  <c r="AB11" i="2" s="1"/>
  <c r="E4" i="2"/>
  <c r="F4" i="2"/>
  <c r="G4" i="2"/>
  <c r="H4" i="2"/>
  <c r="I4" i="2"/>
  <c r="J4" i="2"/>
  <c r="K4" i="2"/>
  <c r="L4" i="2"/>
  <c r="M4" i="2"/>
  <c r="N4" i="2"/>
  <c r="O4" i="2"/>
  <c r="P4" i="2"/>
  <c r="Q4" i="2"/>
  <c r="R4" i="2"/>
  <c r="S4" i="2"/>
  <c r="T4" i="2"/>
  <c r="U4" i="2"/>
  <c r="V4" i="2"/>
  <c r="W4" i="2"/>
  <c r="X4" i="2"/>
  <c r="Y4" i="2"/>
  <c r="Z4" i="2"/>
  <c r="AA4" i="2"/>
  <c r="AB4" i="2"/>
  <c r="E5" i="2"/>
  <c r="F5" i="2"/>
  <c r="G5" i="2"/>
  <c r="H5" i="2"/>
  <c r="I5" i="2"/>
  <c r="J5" i="2"/>
  <c r="K5" i="2"/>
  <c r="L5" i="2"/>
  <c r="M5" i="2"/>
  <c r="N5" i="2"/>
  <c r="O5" i="2"/>
  <c r="P5" i="2"/>
  <c r="Q5" i="2"/>
  <c r="R5" i="2"/>
  <c r="S5" i="2"/>
  <c r="T5" i="2"/>
  <c r="U5" i="2"/>
  <c r="V5" i="2"/>
  <c r="W5" i="2"/>
  <c r="X5" i="2"/>
  <c r="Y5" i="2"/>
  <c r="Z5" i="2"/>
  <c r="AA5" i="2"/>
  <c r="AB5" i="2"/>
  <c r="E7" i="2"/>
  <c r="F7" i="2"/>
  <c r="G7" i="2"/>
  <c r="H7" i="2"/>
  <c r="I7" i="2"/>
  <c r="J7" i="2"/>
  <c r="K7" i="2"/>
  <c r="L7" i="2"/>
  <c r="M7" i="2"/>
  <c r="N7" i="2"/>
  <c r="O7" i="2"/>
  <c r="P7" i="2"/>
  <c r="Q7" i="2"/>
  <c r="R7" i="2"/>
  <c r="S7" i="2"/>
  <c r="T7" i="2"/>
  <c r="U7" i="2"/>
  <c r="V7" i="2"/>
  <c r="W7" i="2"/>
  <c r="X7" i="2"/>
  <c r="Y7" i="2"/>
  <c r="Z7" i="2"/>
  <c r="AA7" i="2"/>
  <c r="AB7" i="2"/>
  <c r="E8" i="2"/>
  <c r="F8" i="2"/>
  <c r="G8" i="2"/>
  <c r="H8" i="2"/>
  <c r="I8" i="2"/>
  <c r="J8" i="2"/>
  <c r="K8" i="2"/>
  <c r="L8" i="2"/>
  <c r="M8" i="2"/>
  <c r="N8" i="2"/>
  <c r="O8" i="2"/>
  <c r="P8" i="2"/>
  <c r="Q8" i="2"/>
  <c r="R8" i="2"/>
  <c r="S8" i="2"/>
  <c r="T8" i="2"/>
  <c r="U8" i="2"/>
  <c r="V8" i="2"/>
  <c r="W8" i="2"/>
  <c r="X8" i="2"/>
  <c r="Y8" i="2"/>
  <c r="Z8" i="2"/>
  <c r="AA8" i="2"/>
  <c r="AB8" i="2"/>
  <c r="F6" i="2"/>
  <c r="G6" i="2"/>
  <c r="H6" i="2"/>
  <c r="I6" i="2"/>
  <c r="J6" i="2"/>
  <c r="K6" i="2"/>
  <c r="L6" i="2"/>
  <c r="M6" i="2"/>
  <c r="N6" i="2"/>
  <c r="O6" i="2"/>
  <c r="P6" i="2"/>
  <c r="Q6" i="2"/>
  <c r="R6" i="2"/>
  <c r="S6" i="2"/>
  <c r="T6" i="2"/>
  <c r="U6" i="2"/>
  <c r="V6" i="2"/>
  <c r="W6" i="2"/>
  <c r="X6" i="2"/>
  <c r="Y6" i="2"/>
  <c r="Z6" i="2"/>
  <c r="AA6" i="2"/>
  <c r="AB6" i="2"/>
  <c r="E6" i="2"/>
  <c r="D4" i="2"/>
  <c r="D5" i="2"/>
  <c r="D7" i="2"/>
  <c r="D8" i="2"/>
  <c r="E20" i="2" l="1"/>
  <c r="F20" i="2"/>
  <c r="G20" i="2"/>
  <c r="H20" i="2"/>
  <c r="I20" i="2"/>
  <c r="J20" i="2"/>
  <c r="K20" i="2"/>
  <c r="L20" i="2"/>
  <c r="M20" i="2"/>
  <c r="N20" i="2"/>
  <c r="O20" i="2"/>
  <c r="P20" i="2"/>
  <c r="Q20" i="2"/>
  <c r="R20" i="2"/>
  <c r="S20" i="2"/>
  <c r="T20" i="2"/>
  <c r="U20" i="2"/>
  <c r="V20" i="2"/>
  <c r="W20" i="2"/>
  <c r="X20" i="2"/>
  <c r="Y20" i="2"/>
  <c r="Z20" i="2"/>
  <c r="AA20" i="2"/>
  <c r="AB20" i="2"/>
  <c r="E21" i="2"/>
  <c r="F21" i="2"/>
  <c r="G21" i="2"/>
  <c r="H21" i="2"/>
  <c r="I21" i="2"/>
  <c r="J21" i="2"/>
  <c r="K21" i="2"/>
  <c r="L21" i="2"/>
  <c r="M21" i="2"/>
  <c r="N21" i="2"/>
  <c r="O21" i="2"/>
  <c r="P21" i="2"/>
  <c r="Q21" i="2"/>
  <c r="R21" i="2"/>
  <c r="S21" i="2"/>
  <c r="T21" i="2"/>
  <c r="U21" i="2"/>
  <c r="V21" i="2"/>
  <c r="W21" i="2"/>
  <c r="X21" i="2"/>
  <c r="Y21" i="2"/>
  <c r="Z21" i="2"/>
  <c r="AA21" i="2"/>
  <c r="AB21" i="2"/>
  <c r="E22" i="2"/>
  <c r="F22" i="2"/>
  <c r="G22" i="2"/>
  <c r="H22" i="2"/>
  <c r="I22" i="2"/>
  <c r="J22" i="2"/>
  <c r="K22" i="2"/>
  <c r="L22" i="2"/>
  <c r="M22" i="2"/>
  <c r="N22" i="2"/>
  <c r="O22" i="2"/>
  <c r="P22" i="2"/>
  <c r="Q22" i="2"/>
  <c r="R22" i="2"/>
  <c r="S22" i="2"/>
  <c r="T22" i="2"/>
  <c r="U22" i="2"/>
  <c r="V22" i="2"/>
  <c r="W22" i="2"/>
  <c r="X22" i="2"/>
  <c r="Y22" i="2"/>
  <c r="Z22" i="2"/>
  <c r="AA22" i="2"/>
  <c r="AB22" i="2"/>
  <c r="E23" i="2"/>
  <c r="F23" i="2"/>
  <c r="G23" i="2"/>
  <c r="H23" i="2"/>
  <c r="I23" i="2"/>
  <c r="J23" i="2"/>
  <c r="K23" i="2"/>
  <c r="L23" i="2"/>
  <c r="M23" i="2"/>
  <c r="N23" i="2"/>
  <c r="O23" i="2"/>
  <c r="P23" i="2"/>
  <c r="Q23" i="2"/>
  <c r="R23" i="2"/>
  <c r="S23" i="2"/>
  <c r="T23" i="2"/>
  <c r="U23" i="2"/>
  <c r="V23" i="2"/>
  <c r="W23" i="2"/>
  <c r="X23" i="2"/>
  <c r="Y23" i="2"/>
  <c r="Z23" i="2"/>
  <c r="AA23" i="2"/>
  <c r="AB23" i="2"/>
  <c r="E24" i="2"/>
  <c r="F24" i="2"/>
  <c r="G24" i="2"/>
  <c r="H24" i="2"/>
  <c r="I24" i="2"/>
  <c r="J24" i="2"/>
  <c r="K24" i="2"/>
  <c r="L24" i="2"/>
  <c r="M24" i="2"/>
  <c r="N24" i="2"/>
  <c r="O24" i="2"/>
  <c r="P24" i="2"/>
  <c r="Q24" i="2"/>
  <c r="R24" i="2"/>
  <c r="S24" i="2"/>
  <c r="T24" i="2"/>
  <c r="U24" i="2"/>
  <c r="V24" i="2"/>
  <c r="W24" i="2"/>
  <c r="X24" i="2"/>
  <c r="Y24" i="2"/>
  <c r="Z24" i="2"/>
  <c r="AA24" i="2"/>
  <c r="AB24" i="2"/>
  <c r="D6" i="2"/>
  <c r="C23" i="7"/>
  <c r="C18" i="3" s="1"/>
  <c r="W25" i="2" l="1"/>
  <c r="N25" i="2"/>
  <c r="AB25" i="2"/>
  <c r="AA25" i="2"/>
  <c r="O25" i="2"/>
  <c r="Z25" i="2"/>
  <c r="Y25" i="2"/>
  <c r="L25" i="2"/>
  <c r="P25" i="2"/>
  <c r="M25" i="2"/>
  <c r="K25" i="2"/>
  <c r="X25" i="2"/>
  <c r="V25" i="2"/>
  <c r="J25" i="2"/>
  <c r="U25" i="2"/>
  <c r="I25" i="2"/>
  <c r="T25" i="2"/>
  <c r="H25" i="2"/>
  <c r="S25" i="2"/>
  <c r="G25" i="2"/>
  <c r="R25" i="2"/>
  <c r="F25" i="2"/>
  <c r="Q25" i="2"/>
  <c r="E25" i="2"/>
  <c r="D25" i="2"/>
  <c r="D9" i="2"/>
  <c r="T24" i="7"/>
  <c r="C19" i="7"/>
  <c r="C14" i="3" s="1"/>
  <c r="D19" i="7"/>
  <c r="D14" i="3" s="1"/>
  <c r="E19" i="7"/>
  <c r="E14" i="3" s="1"/>
  <c r="F19" i="7"/>
  <c r="F14" i="3" s="1"/>
  <c r="G19" i="7"/>
  <c r="G14" i="3" s="1"/>
  <c r="H19" i="7"/>
  <c r="H14" i="3" s="1"/>
  <c r="I19" i="7"/>
  <c r="I14" i="3" s="1"/>
  <c r="J19" i="7"/>
  <c r="J14" i="3" s="1"/>
  <c r="K19" i="7"/>
  <c r="K14" i="3" s="1"/>
  <c r="L19" i="7"/>
  <c r="L14" i="3" s="1"/>
  <c r="M19" i="7"/>
  <c r="M14" i="3" s="1"/>
  <c r="N19" i="7"/>
  <c r="N14" i="3" s="1"/>
  <c r="O19" i="7"/>
  <c r="O14" i="3" s="1"/>
  <c r="P19" i="7"/>
  <c r="P14" i="3" s="1"/>
  <c r="Q19" i="7"/>
  <c r="Q14" i="3" s="1"/>
  <c r="R19" i="7"/>
  <c r="R14" i="3" s="1"/>
  <c r="S19" i="7"/>
  <c r="S14" i="3" s="1"/>
  <c r="T19" i="7"/>
  <c r="T14" i="3" s="1"/>
  <c r="U19" i="7"/>
  <c r="U14" i="3" s="1"/>
  <c r="V19" i="7"/>
  <c r="V14" i="3" s="1"/>
  <c r="W19" i="7"/>
  <c r="W14" i="3" s="1"/>
  <c r="X19" i="7"/>
  <c r="X14" i="3" s="1"/>
  <c r="Y19" i="7"/>
  <c r="Y14" i="3" s="1"/>
  <c r="Z19" i="7"/>
  <c r="Z14" i="3" s="1"/>
  <c r="AA19" i="7"/>
  <c r="AA14" i="3" s="1"/>
  <c r="C20" i="7"/>
  <c r="C15" i="3" s="1"/>
  <c r="D20" i="7"/>
  <c r="D15" i="3" s="1"/>
  <c r="E20" i="7"/>
  <c r="E15" i="3" s="1"/>
  <c r="F20" i="7"/>
  <c r="F15" i="3" s="1"/>
  <c r="G20" i="7"/>
  <c r="G15" i="3" s="1"/>
  <c r="H20" i="7"/>
  <c r="H15" i="3" s="1"/>
  <c r="I20" i="7"/>
  <c r="I15" i="3" s="1"/>
  <c r="J20" i="7"/>
  <c r="J15" i="3" s="1"/>
  <c r="K20" i="7"/>
  <c r="K15" i="3" s="1"/>
  <c r="L20" i="7"/>
  <c r="L15" i="3" s="1"/>
  <c r="M20" i="7"/>
  <c r="M15" i="3" s="1"/>
  <c r="N20" i="7"/>
  <c r="N15" i="3" s="1"/>
  <c r="O20" i="7"/>
  <c r="O15" i="3" s="1"/>
  <c r="P20" i="7"/>
  <c r="P15" i="3" s="1"/>
  <c r="Q20" i="7"/>
  <c r="Q15" i="3" s="1"/>
  <c r="R20" i="7"/>
  <c r="R15" i="3" s="1"/>
  <c r="S20" i="7"/>
  <c r="S15" i="3" s="1"/>
  <c r="T20" i="7"/>
  <c r="T15" i="3" s="1"/>
  <c r="U20" i="7"/>
  <c r="U15" i="3" s="1"/>
  <c r="V20" i="7"/>
  <c r="V15" i="3" s="1"/>
  <c r="W20" i="7"/>
  <c r="W15" i="3" s="1"/>
  <c r="X20" i="7"/>
  <c r="X15" i="3" s="1"/>
  <c r="Y20" i="7"/>
  <c r="Y15" i="3" s="1"/>
  <c r="Z20" i="7"/>
  <c r="Z15" i="3" s="1"/>
  <c r="AA20" i="7"/>
  <c r="AA15" i="3" s="1"/>
  <c r="C21" i="7"/>
  <c r="C16" i="3" s="1"/>
  <c r="D21" i="7"/>
  <c r="D16" i="3" s="1"/>
  <c r="E21" i="7"/>
  <c r="E16" i="3" s="1"/>
  <c r="F21" i="7"/>
  <c r="F16" i="3" s="1"/>
  <c r="G21" i="7"/>
  <c r="G16" i="3" s="1"/>
  <c r="H21" i="7"/>
  <c r="H16" i="3" s="1"/>
  <c r="I21" i="7"/>
  <c r="I16" i="3" s="1"/>
  <c r="J21" i="7"/>
  <c r="J16" i="3" s="1"/>
  <c r="K21" i="7"/>
  <c r="K16" i="3" s="1"/>
  <c r="L21" i="7"/>
  <c r="L16" i="3" s="1"/>
  <c r="M21" i="7"/>
  <c r="M16" i="3" s="1"/>
  <c r="N21" i="7"/>
  <c r="N16" i="3" s="1"/>
  <c r="O21" i="7"/>
  <c r="O16" i="3" s="1"/>
  <c r="P21" i="7"/>
  <c r="P16" i="3" s="1"/>
  <c r="Q21" i="7"/>
  <c r="Q16" i="3" s="1"/>
  <c r="R21" i="7"/>
  <c r="R16" i="3" s="1"/>
  <c r="S21" i="7"/>
  <c r="S16" i="3" s="1"/>
  <c r="T21" i="7"/>
  <c r="T16" i="3" s="1"/>
  <c r="U21" i="7"/>
  <c r="U16" i="3" s="1"/>
  <c r="V21" i="7"/>
  <c r="V16" i="3" s="1"/>
  <c r="W21" i="7"/>
  <c r="W16" i="3" s="1"/>
  <c r="X21" i="7"/>
  <c r="X16" i="3" s="1"/>
  <c r="Y21" i="7"/>
  <c r="Y16" i="3" s="1"/>
  <c r="Z21" i="7"/>
  <c r="Z16" i="3" s="1"/>
  <c r="AA21" i="7"/>
  <c r="AA16" i="3" s="1"/>
  <c r="C22" i="7"/>
  <c r="C17" i="3" s="1"/>
  <c r="D22" i="7"/>
  <c r="D17" i="3" s="1"/>
  <c r="E22" i="7"/>
  <c r="E17" i="3" s="1"/>
  <c r="F22" i="7"/>
  <c r="F17" i="3" s="1"/>
  <c r="G22" i="7"/>
  <c r="G17" i="3" s="1"/>
  <c r="H22" i="7"/>
  <c r="H17" i="3" s="1"/>
  <c r="I22" i="7"/>
  <c r="I17" i="3" s="1"/>
  <c r="J22" i="7"/>
  <c r="J17" i="3" s="1"/>
  <c r="K22" i="7"/>
  <c r="K17" i="3" s="1"/>
  <c r="L22" i="7"/>
  <c r="L17" i="3" s="1"/>
  <c r="M22" i="7"/>
  <c r="M17" i="3" s="1"/>
  <c r="N22" i="7"/>
  <c r="N17" i="3" s="1"/>
  <c r="O22" i="7"/>
  <c r="O17" i="3" s="1"/>
  <c r="P22" i="7"/>
  <c r="P17" i="3" s="1"/>
  <c r="Q22" i="7"/>
  <c r="Q17" i="3" s="1"/>
  <c r="R22" i="7"/>
  <c r="R17" i="3" s="1"/>
  <c r="S22" i="7"/>
  <c r="S17" i="3" s="1"/>
  <c r="T22" i="7"/>
  <c r="T17" i="3" s="1"/>
  <c r="U22" i="7"/>
  <c r="U17" i="3" s="1"/>
  <c r="V22" i="7"/>
  <c r="V17" i="3" s="1"/>
  <c r="W22" i="7"/>
  <c r="W17" i="3" s="1"/>
  <c r="X22" i="7"/>
  <c r="X17" i="3" s="1"/>
  <c r="Y22" i="7"/>
  <c r="Y17" i="3" s="1"/>
  <c r="Z22" i="7"/>
  <c r="Z17" i="3" s="1"/>
  <c r="AA22" i="7"/>
  <c r="AA17" i="3" s="1"/>
  <c r="D23" i="7"/>
  <c r="D18" i="3" s="1"/>
  <c r="E23" i="7"/>
  <c r="E18" i="3" s="1"/>
  <c r="F23" i="7"/>
  <c r="F18" i="3" s="1"/>
  <c r="G23" i="7"/>
  <c r="G18" i="3" s="1"/>
  <c r="H23" i="7"/>
  <c r="H18" i="3" s="1"/>
  <c r="I23" i="7"/>
  <c r="I18" i="3" s="1"/>
  <c r="J23" i="7"/>
  <c r="J18" i="3" s="1"/>
  <c r="K23" i="7"/>
  <c r="K18" i="3" s="1"/>
  <c r="L23" i="7"/>
  <c r="L18" i="3" s="1"/>
  <c r="M23" i="7"/>
  <c r="M18" i="3" s="1"/>
  <c r="N23" i="7"/>
  <c r="N18" i="3" s="1"/>
  <c r="O23" i="7"/>
  <c r="O18" i="3" s="1"/>
  <c r="P23" i="7"/>
  <c r="P18" i="3" s="1"/>
  <c r="Q23" i="7"/>
  <c r="Q18" i="3" s="1"/>
  <c r="R23" i="7"/>
  <c r="R18" i="3" s="1"/>
  <c r="S23" i="7"/>
  <c r="S18" i="3" s="1"/>
  <c r="T23" i="7"/>
  <c r="T18" i="3" s="1"/>
  <c r="U23" i="7"/>
  <c r="U18" i="3" s="1"/>
  <c r="V23" i="7"/>
  <c r="V18" i="3" s="1"/>
  <c r="W23" i="7"/>
  <c r="W18" i="3" s="1"/>
  <c r="X23" i="7"/>
  <c r="X18" i="3" s="1"/>
  <c r="Y23" i="7"/>
  <c r="Y18" i="3" s="1"/>
  <c r="Z23" i="7"/>
  <c r="Z18" i="3" s="1"/>
  <c r="AA23" i="7"/>
  <c r="AA18" i="3" s="1"/>
  <c r="AA8" i="7"/>
  <c r="Z8" i="7"/>
  <c r="Y8" i="7"/>
  <c r="X8" i="7"/>
  <c r="W8" i="7"/>
  <c r="V8" i="7"/>
  <c r="U8" i="7"/>
  <c r="T8" i="7"/>
  <c r="S8" i="7"/>
  <c r="R8" i="7"/>
  <c r="Q8" i="7"/>
  <c r="P8" i="7"/>
  <c r="O8" i="7"/>
  <c r="N8" i="7"/>
  <c r="M8" i="7"/>
  <c r="L8" i="7"/>
  <c r="K8" i="7"/>
  <c r="J8" i="7"/>
  <c r="I8" i="7"/>
  <c r="H8" i="7"/>
  <c r="G8" i="7"/>
  <c r="F8" i="7"/>
  <c r="E8" i="7"/>
  <c r="D8" i="7"/>
  <c r="C8" i="7"/>
  <c r="H24" i="7" l="1"/>
  <c r="H19" i="3" s="1"/>
  <c r="G24" i="7"/>
  <c r="G26" i="7" s="1"/>
  <c r="E24" i="7"/>
  <c r="E26" i="7" s="1"/>
  <c r="D24" i="7"/>
  <c r="D19" i="3" s="1"/>
  <c r="L24" i="7"/>
  <c r="L26" i="7" s="1"/>
  <c r="AA24" i="7"/>
  <c r="AA26" i="7" s="1"/>
  <c r="Z24" i="7"/>
  <c r="Z26" i="7" s="1"/>
  <c r="P24" i="7"/>
  <c r="P26" i="7" s="1"/>
  <c r="O24" i="7"/>
  <c r="O19" i="3" s="1"/>
  <c r="N24" i="7"/>
  <c r="N26" i="7" s="1"/>
  <c r="W24" i="7"/>
  <c r="K24" i="7"/>
  <c r="Y24" i="7"/>
  <c r="V24" i="7"/>
  <c r="J24" i="7"/>
  <c r="X24" i="7"/>
  <c r="U24" i="7"/>
  <c r="I24" i="7"/>
  <c r="T26" i="7"/>
  <c r="T19" i="3"/>
  <c r="S24" i="7"/>
  <c r="M24" i="7"/>
  <c r="R24" i="7"/>
  <c r="Q24" i="7"/>
  <c r="E19" i="3"/>
  <c r="D26" i="7"/>
  <c r="F24" i="7"/>
  <c r="C24" i="7"/>
  <c r="E9" i="2"/>
  <c r="C103" i="1"/>
  <c r="G19" i="3" l="1"/>
  <c r="H26" i="7"/>
  <c r="L19" i="3"/>
  <c r="N19" i="3"/>
  <c r="O26" i="7"/>
  <c r="Z19" i="3"/>
  <c r="AA19" i="3"/>
  <c r="P19" i="3"/>
  <c r="Q26" i="7"/>
  <c r="Q19" i="3"/>
  <c r="U26" i="7"/>
  <c r="U19" i="3"/>
  <c r="X26" i="7"/>
  <c r="X19" i="3"/>
  <c r="J26" i="7"/>
  <c r="J19" i="3"/>
  <c r="V26" i="7"/>
  <c r="V19" i="3"/>
  <c r="Y26" i="7"/>
  <c r="Y19" i="3"/>
  <c r="I26" i="7"/>
  <c r="I19" i="3"/>
  <c r="M26" i="7"/>
  <c r="M19" i="3"/>
  <c r="S26" i="7"/>
  <c r="S19" i="3"/>
  <c r="K26" i="7"/>
  <c r="K19" i="3"/>
  <c r="R26" i="7"/>
  <c r="R19" i="3"/>
  <c r="W26" i="7"/>
  <c r="W19" i="3"/>
  <c r="F26" i="7"/>
  <c r="F19" i="3"/>
  <c r="C26" i="7"/>
  <c r="C28" i="7" s="1"/>
  <c r="C19" i="3"/>
  <c r="F9" i="2"/>
  <c r="I31" i="6"/>
  <c r="G9" i="2" l="1"/>
  <c r="H27" i="6"/>
  <c r="H28" i="6"/>
  <c r="H29" i="6"/>
  <c r="H30" i="6"/>
  <c r="H31" i="6"/>
  <c r="H23" i="6"/>
  <c r="G27" i="6"/>
  <c r="G28" i="6"/>
  <c r="G29" i="6"/>
  <c r="G30" i="6"/>
  <c r="G31" i="6"/>
  <c r="G23" i="6"/>
  <c r="I28" i="6"/>
  <c r="I29" i="6"/>
  <c r="I30" i="6"/>
  <c r="I27" i="6"/>
  <c r="B32" i="6"/>
  <c r="H9" i="2" l="1"/>
  <c r="J27" i="6"/>
  <c r="J29" i="6"/>
  <c r="J31" i="6"/>
  <c r="H32" i="6"/>
  <c r="J30" i="6"/>
  <c r="J28" i="6"/>
  <c r="J23" i="6"/>
  <c r="L23" i="6" s="1"/>
  <c r="I32" i="6"/>
  <c r="G32" i="6"/>
  <c r="K28" i="6" l="1"/>
  <c r="L28" i="6"/>
  <c r="K30" i="6"/>
  <c r="L30" i="6"/>
  <c r="K29" i="6"/>
  <c r="L29" i="6"/>
  <c r="K27" i="6"/>
  <c r="L27" i="6"/>
  <c r="K31" i="6"/>
  <c r="L31" i="6"/>
  <c r="B34" i="6"/>
  <c r="I9" i="2"/>
  <c r="J9" i="2" l="1"/>
  <c r="A25" i="1"/>
  <c r="A20" i="1"/>
  <c r="A21" i="1"/>
  <c r="A22" i="1"/>
  <c r="A23" i="1"/>
  <c r="A24" i="1"/>
  <c r="A19" i="1"/>
  <c r="B37" i="1"/>
  <c r="K9" i="2" l="1"/>
  <c r="F18" i="4"/>
  <c r="G17" i="4"/>
  <c r="F35" i="4"/>
  <c r="G35" i="4" s="1"/>
  <c r="G13" i="4"/>
  <c r="G29" i="2"/>
  <c r="D29" i="2"/>
  <c r="D40" i="2"/>
  <c r="C9" i="2"/>
  <c r="F24" i="4"/>
  <c r="F41" i="4"/>
  <c r="G41" i="4" s="1"/>
  <c r="F42" i="4"/>
  <c r="G42" i="4" s="1"/>
  <c r="F43" i="4"/>
  <c r="F44" i="4"/>
  <c r="G44" i="4" s="1"/>
  <c r="G40" i="4"/>
  <c r="F40" i="4"/>
  <c r="C40" i="4"/>
  <c r="F36" i="4"/>
  <c r="G36" i="4" s="1"/>
  <c r="F34" i="4"/>
  <c r="G34" i="4" s="1"/>
  <c r="F33" i="4"/>
  <c r="F32" i="4"/>
  <c r="G32" i="4" s="1"/>
  <c r="G31" i="4"/>
  <c r="F31" i="4"/>
  <c r="C31" i="4"/>
  <c r="F28" i="4"/>
  <c r="G28" i="4" s="1"/>
  <c r="F27" i="4"/>
  <c r="G27" i="4" s="1"/>
  <c r="F26" i="4"/>
  <c r="G26" i="4" s="1"/>
  <c r="F25" i="4"/>
  <c r="G25" i="4" s="1"/>
  <c r="G23" i="4"/>
  <c r="F23" i="4"/>
  <c r="C23" i="4"/>
  <c r="G21" i="4"/>
  <c r="G16" i="4"/>
  <c r="G15" i="4"/>
  <c r="G14" i="4"/>
  <c r="G11" i="4"/>
  <c r="G10" i="4"/>
  <c r="G7" i="4"/>
  <c r="G6" i="4"/>
  <c r="G5" i="4"/>
  <c r="G4" i="4"/>
  <c r="G3" i="4"/>
  <c r="AB40" i="2"/>
  <c r="AA40" i="2"/>
  <c r="Z40" i="2"/>
  <c r="Y40" i="2"/>
  <c r="X40" i="2"/>
  <c r="W40" i="2"/>
  <c r="V40" i="2"/>
  <c r="U40" i="2"/>
  <c r="T40" i="2"/>
  <c r="S40" i="2"/>
  <c r="R40" i="2"/>
  <c r="Q40" i="2"/>
  <c r="P40" i="2"/>
  <c r="O40" i="2"/>
  <c r="N40" i="2"/>
  <c r="M40" i="2"/>
  <c r="L40" i="2"/>
  <c r="K40" i="2"/>
  <c r="J40" i="2"/>
  <c r="I40" i="2"/>
  <c r="H40" i="2"/>
  <c r="G40" i="2"/>
  <c r="F40" i="2"/>
  <c r="E40" i="2"/>
  <c r="AB29" i="2"/>
  <c r="AA29" i="2"/>
  <c r="Z29" i="2"/>
  <c r="Y29" i="2"/>
  <c r="X29" i="2"/>
  <c r="W29" i="2"/>
  <c r="V29" i="2"/>
  <c r="U29" i="2"/>
  <c r="T29" i="2"/>
  <c r="S29" i="2"/>
  <c r="R29" i="2"/>
  <c r="Q29" i="2"/>
  <c r="P29" i="2"/>
  <c r="O29" i="2"/>
  <c r="N29" i="2"/>
  <c r="M29" i="2"/>
  <c r="L29" i="2"/>
  <c r="K29" i="2"/>
  <c r="J29" i="2"/>
  <c r="I29" i="2"/>
  <c r="H29" i="2"/>
  <c r="F29" i="2"/>
  <c r="E29" i="2"/>
  <c r="E2" i="2"/>
  <c r="F2" i="2" s="1"/>
  <c r="G2" i="2" s="1"/>
  <c r="H2" i="2" s="1"/>
  <c r="I2" i="2" s="1"/>
  <c r="J2" i="2" s="1"/>
  <c r="K2" i="2" s="1"/>
  <c r="L2" i="2" s="1"/>
  <c r="M2" i="2" s="1"/>
  <c r="N2" i="2" s="1"/>
  <c r="O2" i="2" s="1"/>
  <c r="P2" i="2" s="1"/>
  <c r="Q2" i="2" s="1"/>
  <c r="R2" i="2" s="1"/>
  <c r="S2" i="2" s="1"/>
  <c r="T2" i="2" s="1"/>
  <c r="U2" i="2" s="1"/>
  <c r="V2" i="2" s="1"/>
  <c r="W2" i="2" s="1"/>
  <c r="X2" i="2" s="1"/>
  <c r="Y2" i="2" s="1"/>
  <c r="Z2" i="2" s="1"/>
  <c r="AA2" i="2" s="1"/>
  <c r="AB2" i="2" s="1"/>
  <c r="C111" i="1"/>
  <c r="C110" i="1"/>
  <c r="C108" i="1"/>
  <c r="C107" i="1"/>
  <c r="C106" i="1"/>
  <c r="C105" i="1"/>
  <c r="C102" i="1"/>
  <c r="C101" i="1"/>
  <c r="C100" i="1"/>
  <c r="C99" i="1"/>
  <c r="C97" i="1"/>
  <c r="C96" i="1"/>
  <c r="C93" i="1"/>
  <c r="C81" i="1"/>
  <c r="C80" i="1"/>
  <c r="C79" i="1"/>
  <c r="A51" i="1"/>
  <c r="A50" i="1"/>
  <c r="A49" i="1"/>
  <c r="A48" i="1"/>
  <c r="A47" i="1"/>
  <c r="A46" i="1"/>
  <c r="A45" i="1"/>
  <c r="C38" i="1"/>
  <c r="C37" i="1"/>
  <c r="C36" i="1"/>
  <c r="C33" i="1"/>
  <c r="C30" i="1"/>
  <c r="C28" i="1"/>
  <c r="C14" i="1"/>
  <c r="L9" i="2" l="1"/>
  <c r="G18" i="4"/>
  <c r="G43" i="4"/>
  <c r="G45" i="4" s="1"/>
  <c r="F45" i="4"/>
  <c r="F29" i="4"/>
  <c r="F37" i="4"/>
  <c r="G24" i="4"/>
  <c r="G29" i="4" s="1"/>
  <c r="G33" i="4"/>
  <c r="G37" i="4" s="1"/>
  <c r="C40" i="2"/>
  <c r="M9" i="2" l="1"/>
  <c r="F22" i="4"/>
  <c r="G22" i="4"/>
  <c r="N9" i="2" l="1"/>
  <c r="O9" i="2" l="1"/>
  <c r="P9" i="2" l="1"/>
  <c r="Q9" i="2" l="1"/>
  <c r="R9" i="2" l="1"/>
  <c r="S9" i="2" l="1"/>
  <c r="T9" i="2" l="1"/>
  <c r="U9" i="2" l="1"/>
  <c r="V9" i="2" l="1"/>
  <c r="W9" i="2" l="1"/>
  <c r="X9" i="2" l="1"/>
  <c r="Y9" i="2" l="1"/>
  <c r="Z9" i="2" l="1"/>
  <c r="AB9" i="2" l="1"/>
  <c r="AA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tc={818F4F27-0D77-4752-9E1C-E38E00A3AD9C}</author>
  </authors>
  <commentList>
    <comment ref="A12" authorId="0" shapeId="0" xr:uid="{818F4F27-0D77-4752-9E1C-E38E00A3AD9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on peut faire le lien cela. cela évite les erreurs de saisie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tc={6D530AE5-57DA-435E-B0F3-DD0B932ED726}</author>
  </authors>
  <commentList>
    <comment ref="A18" authorId="0" shapeId="0" xr:uid="{6D530AE5-57DA-435E-B0F3-DD0B932ED72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on peut mettre la formule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Pascal</author>
  </authors>
  <commentList>
    <comment ref="A11" authorId="0" shapeId="0" xr:uid="{0CECC4C8-3E53-4373-94FD-E1635515DF58}">
      <text>
        <r>
          <rPr>
            <sz val="9"/>
            <color indexed="81"/>
            <rFont val="Tahoma"/>
            <family val="2"/>
          </rPr>
          <t>estimations liées au forfait appliqué</t>
        </r>
      </text>
    </comment>
    <comment ref="A12" authorId="0" shapeId="0" xr:uid="{00000000-0006-0000-0200-000001000000}">
      <text>
        <r>
          <rPr>
            <sz val="9"/>
            <color indexed="81"/>
            <rFont val="Tahoma"/>
            <family val="2"/>
          </rPr>
          <t>estimations liées au forfait appliqué</t>
        </r>
      </text>
    </comment>
    <comment ref="A27" authorId="0" shapeId="0" xr:uid="{00000000-0006-0000-0200-000002000000}">
      <text>
        <r>
          <rPr>
            <b/>
            <sz val="9"/>
            <color indexed="81"/>
            <rFont val="Tahoma"/>
            <family val="2"/>
          </rPr>
          <t>à partir de l'année de l'interconnexion au réseau, si interconnexion programmée</t>
        </r>
        <r>
          <rPr>
            <sz val="9"/>
            <color indexed="81"/>
            <rFont val="Tahoma"/>
            <family val="2"/>
          </rPr>
          <t xml:space="preserve">
</t>
        </r>
      </text>
    </comment>
    <comment ref="A33" authorId="0" shapeId="0" xr:uid="{00000000-0006-0000-0200-000003000000}">
      <text>
        <r>
          <rPr>
            <b/>
            <sz val="9"/>
            <color indexed="81"/>
            <rFont val="Tahoma"/>
            <family val="2"/>
          </rPr>
          <t>à partir de l'année de l'interconnexion au réseau, si interconnexion programmée</t>
        </r>
      </text>
    </comment>
  </commentList>
</comments>
</file>

<file path=xl/sharedStrings.xml><?xml version="1.0" encoding="utf-8"?>
<sst xmlns="http://schemas.openxmlformats.org/spreadsheetml/2006/main" count="575" uniqueCount="379">
  <si>
    <t>GENERAL</t>
  </si>
  <si>
    <t>Valeur</t>
  </si>
  <si>
    <t>Unités</t>
  </si>
  <si>
    <t>Source</t>
  </si>
  <si>
    <t>Commentaires</t>
  </si>
  <si>
    <t>Nom du projet</t>
  </si>
  <si>
    <t>Scenario</t>
  </si>
  <si>
    <t>ex. : Référence, Haut, Bas</t>
  </si>
  <si>
    <t>ans</t>
  </si>
  <si>
    <t>PARAMETRES MACRO-ECONOMIQUES</t>
  </si>
  <si>
    <t>Inflation</t>
  </si>
  <si>
    <t>Inflation annuelle générale</t>
  </si>
  <si>
    <t>%/an</t>
  </si>
  <si>
    <t>Hausse annuelle des prix du carburant</t>
  </si>
  <si>
    <t>Hausse annuelle des tarifs de l'électricité</t>
  </si>
  <si>
    <t>Monnaies</t>
  </si>
  <si>
    <t>Monnaie locale</t>
  </si>
  <si>
    <t>FCFA</t>
  </si>
  <si>
    <t>utilisée pour les revenus</t>
  </si>
  <si>
    <t>Monnaie d'investissement</t>
  </si>
  <si>
    <t>EUR</t>
  </si>
  <si>
    <t>utilisée pour l'investissement</t>
  </si>
  <si>
    <t>Taux de change avec monnaie locale</t>
  </si>
  <si>
    <t>PARAMETRES DE COUTS</t>
  </si>
  <si>
    <t>Centrale PV hors batterie &amp; électronique</t>
  </si>
  <si>
    <t>Batteries</t>
  </si>
  <si>
    <t>Groupe électrogène</t>
  </si>
  <si>
    <t>Electronique</t>
  </si>
  <si>
    <t>N/A</t>
  </si>
  <si>
    <t>Acquisition terrain et aménagement</t>
  </si>
  <si>
    <t>Frais d'installation</t>
  </si>
  <si>
    <t>Coût de transport</t>
  </si>
  <si>
    <t>Ingénierie &amp; formation</t>
  </si>
  <si>
    <t>Imprévus</t>
  </si>
  <si>
    <t>OPEX - Couts d'Opération et Maintenance</t>
  </si>
  <si>
    <t>Equipements</t>
  </si>
  <si>
    <t>coût d'O&amp;M annuel par type d'équipement, calculé en % de l'investissement initial</t>
  </si>
  <si>
    <t>COUTS FIXES</t>
  </si>
  <si>
    <t>Salaires</t>
  </si>
  <si>
    <t>Salaires techniciens</t>
  </si>
  <si>
    <t>Nb homme-mois techniciens</t>
  </si>
  <si>
    <t>mois/an</t>
  </si>
  <si>
    <t>Salaires non-qualifiés</t>
  </si>
  <si>
    <t>Nb homme-mois non-qualifiés</t>
  </si>
  <si>
    <t>Autres</t>
  </si>
  <si>
    <t>Assurances &amp; divers coûts fixes</t>
  </si>
  <si>
    <t>COUTS VARIABLES</t>
  </si>
  <si>
    <t>Consommation spécifique Diesel</t>
  </si>
  <si>
    <t>litre/kWh</t>
  </si>
  <si>
    <t>Cout du carburant (Diesel)</t>
  </si>
  <si>
    <t>Cout de revient carburant</t>
  </si>
  <si>
    <t>ex. 0,35 l/kWh à 650 FCFA/l</t>
  </si>
  <si>
    <t>Divers couts variables sur la production diesel</t>
  </si>
  <si>
    <t>Interconnexion réseau</t>
  </si>
  <si>
    <t>PARAMETRES FINANCIERS</t>
  </si>
  <si>
    <t>Taxes</t>
  </si>
  <si>
    <t>Impôt sur les bénéfices</t>
  </si>
  <si>
    <t>Taxes sur les ventes d'électricité (TVA)</t>
  </si>
  <si>
    <t>Taxes sur les importations</t>
  </si>
  <si>
    <t>Besoin en Fonds de Roulement</t>
  </si>
  <si>
    <t>mois de Chiffre d'Affaires</t>
  </si>
  <si>
    <t>Sources de financement - investissement initial</t>
  </si>
  <si>
    <t>Subvention initiale</t>
  </si>
  <si>
    <t>valeur à modifier dans le tableau de bord uniquement</t>
  </si>
  <si>
    <t>Fonds propres</t>
  </si>
  <si>
    <t>Prêt concessionnel</t>
  </si>
  <si>
    <t>Prêt commercial</t>
  </si>
  <si>
    <t>Conditions du prêt concessionnel</t>
  </si>
  <si>
    <t>Durée</t>
  </si>
  <si>
    <t>Periode de grâce</t>
  </si>
  <si>
    <t>Taux d'intérêt</t>
  </si>
  <si>
    <t>Conditions du prêt commercial</t>
  </si>
  <si>
    <t>Sources de financement - ré-investissement</t>
  </si>
  <si>
    <t>Année du réinvestissement principal (à financer)</t>
  </si>
  <si>
    <t>de 1 à 25, en fonction du besoin de financement (trésorerie négative) identifié grâce au graphique Cash Flow</t>
  </si>
  <si>
    <t>Subvention au réinvestissement</t>
  </si>
  <si>
    <t>Prêt réinvestissement</t>
  </si>
  <si>
    <t>Conditions du prêt réinvestissement</t>
  </si>
  <si>
    <t>Finance carbone</t>
  </si>
  <si>
    <t>Inclure la finance carbone à l'analyse financière</t>
  </si>
  <si>
    <t>non</t>
  </si>
  <si>
    <t>Teneur en carbone de la production de diesel évitée</t>
  </si>
  <si>
    <t>kgCO2/kWh</t>
  </si>
  <si>
    <t>Prix ​​du crédit carbone</t>
  </si>
  <si>
    <t>Frais d'inscription et de validation</t>
  </si>
  <si>
    <t>Frais de vérification annuelle</t>
  </si>
  <si>
    <t>Objectif de rentabilité</t>
  </si>
  <si>
    <t>Objectif de TRI financier</t>
  </si>
  <si>
    <t>Durée retenue pour l'analyse financière</t>
  </si>
  <si>
    <t>PARAMETRES COMMERCIAUX</t>
  </si>
  <si>
    <t>Nombre d'habitants - année 0</t>
  </si>
  <si>
    <t>Nombre de personnes par ménages</t>
  </si>
  <si>
    <t>Taux de croissance de la population</t>
  </si>
  <si>
    <t>Interconnexion au réseau principal</t>
  </si>
  <si>
    <t xml:space="preserve"> Si une interconnexion est envisagée, noter le numéro de l'année (entre 0 et 25), sinon, noter "non"</t>
  </si>
  <si>
    <t>Cout d'investissement pour l'interconnexion</t>
  </si>
  <si>
    <t>Pertes techniques et non techniques</t>
  </si>
  <si>
    <t>Ventes</t>
  </si>
  <si>
    <t>Tarif moyen du kWh - année 1 (hors taxes)</t>
  </si>
  <si>
    <t>Tarif - forfait</t>
  </si>
  <si>
    <t>Tarif branchement - type 2</t>
  </si>
  <si>
    <t>Tarif branchement - type 3</t>
  </si>
  <si>
    <t>Tarif de vente des kits PV - type 1</t>
  </si>
  <si>
    <t>Tarif de vente des kits PV - type 2</t>
  </si>
  <si>
    <t>Tarif de vente des kits PV - type 3</t>
  </si>
  <si>
    <t>Tarif de vente des kits PV - type 4</t>
  </si>
  <si>
    <t>Tarif d'achat de l'électricité au réseau</t>
  </si>
  <si>
    <t>en cas d'interconnexion avec le réseau principal - tarif d'achat au réseau  remplace le backup diesel</t>
  </si>
  <si>
    <t>Tarif de vente de l'électricité au réseau</t>
  </si>
  <si>
    <t>en cas d'interconnexion avec le réseau principal - tarif de vente au réseau de l'excédent de production</t>
  </si>
  <si>
    <t>hors pertes</t>
  </si>
  <si>
    <t>Nombre de nouveaux branchements - T3</t>
  </si>
  <si>
    <t>Nombre de nouveaux branchements (tous)</t>
  </si>
  <si>
    <t>PRODUCTION</t>
  </si>
  <si>
    <t>pertes incluses</t>
  </si>
  <si>
    <t>Production solaire PV</t>
  </si>
  <si>
    <t>kWh/an</t>
  </si>
  <si>
    <t>Production diesel backup</t>
  </si>
  <si>
    <t>ACTIVITE PERIPHERIQUE - INSTALLATION DE KITS PV</t>
  </si>
  <si>
    <t>Nombre de Kit PV installés - type 1</t>
  </si>
  <si>
    <t>Nombre de Kit PV installés - type 2</t>
  </si>
  <si>
    <t>Nombre de Kit PV installés - type 3</t>
  </si>
  <si>
    <t>Nombre de Kit PV installés - type 4</t>
  </si>
  <si>
    <t>Nombre de Kit PV installés (tous)</t>
  </si>
  <si>
    <t>PRODUCTION - équipements</t>
  </si>
  <si>
    <t>Durée amortissement</t>
  </si>
  <si>
    <t>PRODUCTION - autres frais initiaux</t>
  </si>
  <si>
    <t>Total Production</t>
  </si>
  <si>
    <t>DISTRIBUTION - réseaux MT/BT</t>
  </si>
  <si>
    <t>Total Distribution</t>
  </si>
  <si>
    <t>ITEMS</t>
  </si>
  <si>
    <t>UNITE</t>
  </si>
  <si>
    <t>QUANTITE</t>
  </si>
  <si>
    <t>Sous-Total réseaux MT/BT</t>
  </si>
  <si>
    <t>DISTRIBUTION - branchements initiaux</t>
  </si>
  <si>
    <t>ITEMS (connexion)</t>
  </si>
  <si>
    <t>Connexion</t>
  </si>
  <si>
    <t>Sous-Total branchements</t>
  </si>
  <si>
    <t>KITS SOLAIRE INDIVIDUELS</t>
  </si>
  <si>
    <t>ITEMS (kits PV)</t>
  </si>
  <si>
    <t>Kit</t>
  </si>
  <si>
    <t>Total</t>
  </si>
  <si>
    <t>Consommation annuelle abonnés - T2</t>
  </si>
  <si>
    <t>Consommation annuelle abonnés - T3</t>
  </si>
  <si>
    <t>Nombre de nouveaux branchements - T4</t>
  </si>
  <si>
    <t>Nombre de nouveaux branchements - T5</t>
  </si>
  <si>
    <t>Consommation annuelle abonnés - T4</t>
  </si>
  <si>
    <t>Consommation annuelle abonnés - T5</t>
  </si>
  <si>
    <t>Consommation annuelle abonnés - T1 (forfait)</t>
  </si>
  <si>
    <t>Nombre de nouveaux branchements - T1 (forfait)</t>
  </si>
  <si>
    <t>Consommation totale des abonnés</t>
  </si>
  <si>
    <t>APPROVISIONNEMENT</t>
  </si>
  <si>
    <t>Hypothèses Energie</t>
  </si>
  <si>
    <t>Unités/an</t>
  </si>
  <si>
    <t>Nb/an</t>
  </si>
  <si>
    <t>Hypothèses Investissement (CAPEX)</t>
  </si>
  <si>
    <t>raccordés à l'année de démarrage</t>
  </si>
  <si>
    <t>installés à l'année de démarrage</t>
  </si>
  <si>
    <t>Population de la zone de concession ciblée</t>
  </si>
  <si>
    <t>Année d'interconnexion envisagée (si programmée)</t>
  </si>
  <si>
    <t>vérifier que la valeur totale des 4 sources de financement ne dépasse pas 100%</t>
  </si>
  <si>
    <t>Ecrire "oui" pour ajouter la finance carbone à l'analyse financière, ou "non". La cellule s'affiche en vert si la finance carbone s'applique</t>
  </si>
  <si>
    <t>horizon fixé pour calcul rentabilité financière : peut être plus court que l'analyse économique</t>
  </si>
  <si>
    <t>Tarif de vente aux usagers (branchement initial)</t>
  </si>
  <si>
    <t>Tarif de vente aux usagers (tarif du Kit)</t>
  </si>
  <si>
    <t>%age de pertes</t>
  </si>
  <si>
    <t>nb habitants</t>
  </si>
  <si>
    <t>pers/ménages</t>
  </si>
  <si>
    <t>%</t>
  </si>
  <si>
    <t>% de l'investissement initial</t>
  </si>
  <si>
    <t>n° de l'année</t>
  </si>
  <si>
    <t>% du réinvestissement</t>
  </si>
  <si>
    <t>%age de l'invest/an</t>
  </si>
  <si>
    <t>ex. location terrain, autres couts fixes</t>
  </si>
  <si>
    <t>Hypothèses détaillées</t>
  </si>
  <si>
    <t>Formulaire de paramétrage du modèle d'analyse économique et financière pour projets d'électrification hors-réseau (EHR)</t>
  </si>
  <si>
    <t>Merci de remplir les cellules en jaune</t>
  </si>
  <si>
    <t>&gt; Feuille Energie</t>
  </si>
  <si>
    <t>&gt; Feuille Investissement (CAPEX)</t>
  </si>
  <si>
    <t>&gt; Feuille hypothèses détaillées</t>
  </si>
  <si>
    <t>Réseau BT</t>
  </si>
  <si>
    <t xml:space="preserve">Information relative à la tarification proposée par le soumissionnaire </t>
  </si>
  <si>
    <t xml:space="preserve">Catégorie </t>
  </si>
  <si>
    <t>Tarif 1</t>
  </si>
  <si>
    <t>Tarif 2</t>
  </si>
  <si>
    <t>Tarif 3</t>
  </si>
  <si>
    <t>Tarif 4</t>
  </si>
  <si>
    <t>Tarif 5</t>
  </si>
  <si>
    <t>Nb d'abonné</t>
  </si>
  <si>
    <t>Nb de kWh/an</t>
  </si>
  <si>
    <t>Tarif variable FCFA/kWh</t>
  </si>
  <si>
    <t>Prime fixe /gestion du recouvrement 
FCFA/mois</t>
  </si>
  <si>
    <t>Revenu de la partie variable</t>
  </si>
  <si>
    <t>Revenu Prime fixe Recouvre- ment</t>
  </si>
  <si>
    <t>Revenu Prime fixe Ampérage</t>
  </si>
  <si>
    <t>Revenu total en FCFA/kWh</t>
  </si>
  <si>
    <t xml:space="preserve">Tarif moyen </t>
  </si>
  <si>
    <t>Part de la prime fixe sur le recouvrement</t>
  </si>
  <si>
    <t xml:space="preserve">FCFA/kWh </t>
  </si>
  <si>
    <t xml:space="preserve">I- Informations générales </t>
  </si>
  <si>
    <t>Taille de ménage</t>
  </si>
  <si>
    <t>Nombre de ménages</t>
  </si>
  <si>
    <t>Taux démographique annuel (%)</t>
  </si>
  <si>
    <t>Taux annuel d'accroissement de demande énergétique (%)</t>
  </si>
  <si>
    <t>An1</t>
  </si>
  <si>
    <t>An2</t>
  </si>
  <si>
    <t>An3</t>
  </si>
  <si>
    <t>An4</t>
  </si>
  <si>
    <t>An5</t>
  </si>
  <si>
    <t>An6</t>
  </si>
  <si>
    <t>An7</t>
  </si>
  <si>
    <t>An8</t>
  </si>
  <si>
    <t>An9</t>
  </si>
  <si>
    <t>An10</t>
  </si>
  <si>
    <t>An11</t>
  </si>
  <si>
    <t>An12</t>
  </si>
  <si>
    <t>An13</t>
  </si>
  <si>
    <t>An14</t>
  </si>
  <si>
    <t>An15</t>
  </si>
  <si>
    <t>An16</t>
  </si>
  <si>
    <t>An17</t>
  </si>
  <si>
    <t>An18</t>
  </si>
  <si>
    <t>An19</t>
  </si>
  <si>
    <t>An20</t>
  </si>
  <si>
    <t>An21</t>
  </si>
  <si>
    <t>An22</t>
  </si>
  <si>
    <t>An23</t>
  </si>
  <si>
    <t>An24</t>
  </si>
  <si>
    <t>An25</t>
  </si>
  <si>
    <t>Demande journalière Type T2  (kWh/j)</t>
  </si>
  <si>
    <t>Demande journalière Type T3  (kWh/j)</t>
  </si>
  <si>
    <t>Demande journalière Type T4  (kWh/j)</t>
  </si>
  <si>
    <t>Demande journalière Type T5  (kWh/j)</t>
  </si>
  <si>
    <t>Perte lié au réseau de distribution (%)</t>
  </si>
  <si>
    <t>II- Eléments de dimensionnement du générateur adéquat</t>
  </si>
  <si>
    <t>Horizon du premier investissement (ans)</t>
  </si>
  <si>
    <t>Taux d'hybridation (%)</t>
  </si>
  <si>
    <t>Ensoleillement (kWh/m²/j)</t>
  </si>
  <si>
    <t>Le rendemenent de dimensionnement des équipements (Modules, batteries, électronique, …)</t>
  </si>
  <si>
    <t>Puissance unitaire du module solaire (W)</t>
  </si>
  <si>
    <t>III- Elements de la configuration choisie (Système Hybride avec Bus AC + stockage; Système Hybride avec Bus DC + stockage; Système mixte; ...)</t>
  </si>
  <si>
    <t>ONDULEUR PV</t>
  </si>
  <si>
    <t>Pointe des consommations (kW)</t>
  </si>
  <si>
    <r>
      <t>P</t>
    </r>
    <r>
      <rPr>
        <vertAlign val="subscript"/>
        <sz val="11"/>
        <rFont val="Arial Narrow"/>
        <family val="2"/>
      </rPr>
      <t>ond</t>
    </r>
    <r>
      <rPr>
        <sz val="11"/>
        <rFont val="Arial Narrow"/>
        <family val="2"/>
      </rPr>
      <t xml:space="preserve"> unitaire de l'onduleur PV (W)</t>
    </r>
  </si>
  <si>
    <t xml:space="preserve">Nombre total onduleurs PV à choisir </t>
  </si>
  <si>
    <t xml:space="preserve">MODULES SOLAIRES </t>
  </si>
  <si>
    <t>Nombre total de modules solaires à installer</t>
  </si>
  <si>
    <t>ONDULEUR BIDIRECTIONNEL</t>
  </si>
  <si>
    <t>Réseau monophasé ou triphasé)</t>
  </si>
  <si>
    <t>Puissance calculée par phase (kW)</t>
  </si>
  <si>
    <r>
      <t>P</t>
    </r>
    <r>
      <rPr>
        <vertAlign val="subscript"/>
        <sz val="11"/>
        <rFont val="Arial Narrow"/>
        <family val="2"/>
      </rPr>
      <t>ond</t>
    </r>
    <r>
      <rPr>
        <sz val="11"/>
        <rFont val="Arial Narrow"/>
        <family val="2"/>
      </rPr>
      <t xml:space="preserve"> unitaire de l'onduleur bidirectionnel (W)</t>
    </r>
  </si>
  <si>
    <t>CHARGEURS MPPT</t>
  </si>
  <si>
    <t>Quantité</t>
  </si>
  <si>
    <t xml:space="preserve">BATTERIES </t>
  </si>
  <si>
    <t>Capacité (Ah)</t>
  </si>
  <si>
    <t>Tension batterie (V)</t>
  </si>
  <si>
    <t>Profondeur de decharge (%)</t>
  </si>
  <si>
    <t>Autonomie (jour)</t>
  </si>
  <si>
    <t>Tension de charge des batteries (48V)</t>
  </si>
  <si>
    <t>GROUPE ELECTROGENE</t>
  </si>
  <si>
    <t>Puissance GE en kVA</t>
  </si>
  <si>
    <t>ELEMENTS DE PROTECTION</t>
  </si>
  <si>
    <t>Côté DC</t>
  </si>
  <si>
    <t>Côté AC</t>
  </si>
  <si>
    <t xml:space="preserve">IV- Eléments du réseau de distribution BT </t>
  </si>
  <si>
    <t xml:space="preserve">Désignation </t>
  </si>
  <si>
    <t>Unité</t>
  </si>
  <si>
    <t xml:space="preserve">Portée maxi / mini </t>
  </si>
  <si>
    <t>m</t>
  </si>
  <si>
    <t>Paramètre</t>
  </si>
  <si>
    <t xml:space="preserve">Poteaux (spécifier le type) </t>
  </si>
  <si>
    <t>V- ANNEXES</t>
  </si>
  <si>
    <t>Schémas unifilaire de la configuration</t>
  </si>
  <si>
    <t>Fiches techniques des équipements</t>
  </si>
  <si>
    <t>Demande journalière Type T1  Forfait (kWh/j)</t>
  </si>
  <si>
    <t>Tarif branchement - type 5</t>
  </si>
  <si>
    <t>Tarif branchement - type 4</t>
  </si>
  <si>
    <t>Tarif branchement type 1 - forfait</t>
  </si>
  <si>
    <t xml:space="preserve">&gt; Feuille hypothèses de dimensionnement </t>
  </si>
  <si>
    <t xml:space="preserve">&gt; Feuille tarif </t>
  </si>
  <si>
    <t>Pourcentage de ménages raccordables (%)</t>
  </si>
  <si>
    <t>Energie journaliere consommée au 1ier investissement (kWh/j)</t>
  </si>
  <si>
    <t>Longueur de câble BT (spécifier la section:          mm2)</t>
  </si>
  <si>
    <t>Longueur de câble BT (spécifier la section:           mm2)</t>
  </si>
  <si>
    <t>Capacité totale en kWh/jour</t>
  </si>
  <si>
    <t>Capacité (Volt  ; Ampère)</t>
  </si>
  <si>
    <t>Nombre de nouveaux branchements-T2</t>
  </si>
  <si>
    <t>COUT (F CFA)</t>
  </si>
  <si>
    <t>il s'agit ici de reprendre les demandes journalières totales pour chaque Type. Mettre le détail de calcul sur une autre feuille que vous pouvez appelez ''estimation de la demande''</t>
  </si>
  <si>
    <t>Nombre de client - T1 (forfait)</t>
  </si>
  <si>
    <t>Nombre de clients-T2</t>
  </si>
  <si>
    <t>Nombre de clients-T3</t>
  </si>
  <si>
    <t>Nombre de clients-T4</t>
  </si>
  <si>
    <t>Nombre de clients-T5</t>
  </si>
  <si>
    <t>Demande journalière totale (kWh/j)</t>
  </si>
  <si>
    <t>Mettre l'année pour laquelle seront dimensionnés les installations</t>
  </si>
  <si>
    <t>Onduleur bidirectionnel ou chargeur MPPT dépendamment du type de configuration (bus AC ou bus DC). Les valeurs données seront confirmées par les fiches techniques des équipements fournies et permettront la recharge du banc de batterie prévu.</t>
  </si>
  <si>
    <t>Indiquez la valeur de l'ensoleillement utilisée pour le dimensionnement des installation. Indiquez la source.</t>
  </si>
  <si>
    <t>Très important. Indiquez les organes de protection prévus</t>
  </si>
  <si>
    <t>Indiquer la portée maxi et mini (distance entre 2 poteaux successifs)</t>
  </si>
  <si>
    <t>Indiquer les types de câbles (par section par exemple: Alu 3x75+54+16 mm²) et la longueur prévue</t>
  </si>
  <si>
    <t>Indiquez les types de poteau et le nombre (par exemple: Béton 10B1250, 8m bois etc…)</t>
  </si>
  <si>
    <t>il s'agit ici du taux applicable au consommation spécifiques (géréralement bas pour les domestiques)</t>
  </si>
  <si>
    <t>Production diesel/production totale en kWh</t>
  </si>
  <si>
    <t>Prévisions du nombre d'abonnés</t>
  </si>
  <si>
    <t>Demande journalière foisonnée (kWh/jour)</t>
  </si>
  <si>
    <t xml:space="preserve">FICHIER D'AIDE AU CALCUL DE LA DEMANDE JOURNALIÈRE POUR LA VÉRIFICATION DU DIMENSIONNEMENT </t>
  </si>
  <si>
    <t>Prévisions de la demande (Energie vendue)</t>
  </si>
  <si>
    <t>Echange d'électricité avec le réseau à l'année de raccordement (+ vente et - achat)</t>
  </si>
  <si>
    <t>Achat ou vente d'électricité au réseau</t>
  </si>
  <si>
    <t>kWh/an/abonné</t>
  </si>
  <si>
    <t xml:space="preserve">Consommation annuelle unitaire abonné - T1 (forfait) </t>
  </si>
  <si>
    <t>Consommation annuelle unitaire abonnés- T2</t>
  </si>
  <si>
    <t>Consommation annuelle unitaire abonnés- T3</t>
  </si>
  <si>
    <t>Consommation annuelle unitaire abonnés- T4</t>
  </si>
  <si>
    <t>Consommation annuelle unitaire abonnés- T5</t>
  </si>
  <si>
    <t>&gt; Feuille calcul de la demande journalière</t>
  </si>
  <si>
    <t>Mettre la consommation vendue  pour l'année de dimensionnement</t>
  </si>
  <si>
    <t>Exemple : Centrale de ….....kWc / …...... kVA</t>
  </si>
  <si>
    <t>L'onglet Estimation de la demande a été créé pour vous faciliter l'estimation de la demande d'énergie et lier les données de base</t>
  </si>
  <si>
    <t>Les coûts raisonnables avec des équipements de qualité</t>
  </si>
  <si>
    <t xml:space="preserve">Hypothèses réalistes qui se justifient par les retours d'expérience </t>
  </si>
  <si>
    <t>Bien présenter les hypothèses et tester (si possible) la sensibilité de votre tarif par rapport aux différents scénarii</t>
  </si>
  <si>
    <t xml:space="preserve">La demande estimée en énergie de tous les abonnés ainsi que la taille du champ PV qui permettra de pouvoir assurer cette demande. </t>
  </si>
  <si>
    <t>C'est la corrélation entre le champ PV et la charge (demande d'énergie de tous les abonnés) qui doit être recherchée et justifiée.</t>
  </si>
  <si>
    <t>Détailler les calculs de la demande journalière (prévision des nombres d'abonnés par typologie de client, la consommation par typologie de client pour calculer les consommations totales par typologie de client)</t>
  </si>
  <si>
    <t xml:space="preserve">En prenant des données issues du RGPH4 sur le site de l'INSAE et  le taux d'accroissement annuel </t>
  </si>
  <si>
    <t xml:space="preserve">On peut prendre la taille moyenne sur le pays mais on peut également prendre directement celle du département ou de la localité (qui est la meilleure valeur) </t>
  </si>
  <si>
    <t>On ne doit pas remplir cette case puisqu'elle se génère avec cette formule</t>
  </si>
  <si>
    <t>Cela correspond en fait au ratio de performance qui prend en compte toutes pertes du champ PV jusqu'à la charge (souvent compris entre 65% à 75%)</t>
  </si>
  <si>
    <t xml:space="preserve">Doit correspondre avec les données affichées sur les fiches techniques des modules utilisés au niveau du champ PV </t>
  </si>
  <si>
    <t>Ce nombre de total de modules doit permettre au champ PV d'avoir une puissance qui permet d'alimenter la charge en journée et de stocker l'énergie au niveau des batteries afin de pouvoir l'utiliser pendant la nuit ou pendant les jours nuageux et période de pluie (fonctionnement 100% solaire). Faire attention pour intégrer réellement un nombre raisonnable de jours d'autonomie.</t>
  </si>
  <si>
    <t>Cette donnée est très importante pour la durée de vie de la batterie et la solidité du sytème. Faire le lien entre cette profondeur de décharge et le renouvellement du parc de batteries et prendre une option efficience.</t>
  </si>
  <si>
    <t>Cette capacité doit permettre d'assurer la demande la nuit et pendant les jours nuageux (très faible ensoleillement) pour 100% solaire. Préciser bien son utilisation pour le cas d'hybridation</t>
  </si>
  <si>
    <t>Produire le schéma unifilaire de la configuration de la centrale PV à installer</t>
  </si>
  <si>
    <t>Joindre les fiches techniques de quelques éléments clés comme les modules PV, les onduleurs, les batteries et GE si applicable</t>
  </si>
  <si>
    <t>Consommation spécifique journalière par abonnés</t>
  </si>
  <si>
    <t>Nombre total de clients (tous)</t>
  </si>
  <si>
    <t>Client - T2</t>
  </si>
  <si>
    <t>Client - T1  Forfait</t>
  </si>
  <si>
    <t>Client - T3</t>
  </si>
  <si>
    <t>Client - T4</t>
  </si>
  <si>
    <t>Client - T5</t>
  </si>
  <si>
    <t>nombre</t>
  </si>
  <si>
    <t>Prévision de la demande journalière par type de client</t>
  </si>
  <si>
    <t>kWh/jour</t>
  </si>
  <si>
    <t>kWh/j/abonné</t>
  </si>
  <si>
    <t>Demande journalière Client - T2  (kWh/j)</t>
  </si>
  <si>
    <t>Demande journalière Client - T3  (kWh/j)</t>
  </si>
  <si>
    <t>Demande journalière Client - T4  (kWh/j)</t>
  </si>
  <si>
    <t>Demande journalière Client - T5  (kWh/j)</t>
  </si>
  <si>
    <t>Demande journalière Client - T1  Forfait (kWh/j)</t>
  </si>
  <si>
    <t>Nombre total de batteries</t>
  </si>
  <si>
    <t>Une autonomie raisonnable doit être choisie pour répondre à quelques jours nuageux, pluvieux consécutifs. À minima un jour en système hybride</t>
  </si>
  <si>
    <t>Branchement T1 forfait</t>
  </si>
  <si>
    <t>Branchement T2</t>
  </si>
  <si>
    <t>Cablage</t>
  </si>
  <si>
    <t xml:space="preserve">Génie civil </t>
  </si>
  <si>
    <t>Nombre de nouveaux abonnés par an</t>
  </si>
  <si>
    <t>Consommation annuelle unitaire</t>
  </si>
  <si>
    <t xml:space="preserve">Consommation annuelle </t>
  </si>
  <si>
    <t>INFORMATION A FOURNIR PAR LE CONCÈDANT</t>
  </si>
  <si>
    <t>ex. 10% des couts de carburant (lubrifiant gp électrogène, filtre…)</t>
  </si>
  <si>
    <t>Justifier par une courbe de charge journalière ou un facteur de charge (facteur de charge variant entre 20 et max 35%)</t>
  </si>
  <si>
    <t>Doit permettre de couvrir la puissance installée du champs réduite de la demande de puissance minimale prise par le réseau</t>
  </si>
  <si>
    <t xml:space="preserve">pour tenir compte que tout abonné ne consomme pas uniformément à sa consommation spécifique. Cela permet de passer de la valeur d'enquête à la valeur de planification. de l'ordre de 70% (?)
Pour éviter toute confusion sur l'emploi de ce coefficient on peut supposer que les valeurs de consommations sont foisonnées. </t>
  </si>
  <si>
    <t>Foisonnement pour l'estimation de 
la demande journalière (%)</t>
  </si>
  <si>
    <t xml:space="preserve">C'est le pourcentage du nombre de ménage que l'opérateur cible. 
Pourquoi pas demander le nombre de ménages que l'opérateur souhaite raccorder. La clientèle ciblée est autre chose. Il peut cibler de ne pas raccorder les petits sous le réseau et leur proposer des kits solaires, ou de ne pas les raccorder. Tout devra être justifié par des hypothèses réalistes (retour d'expérience) </t>
  </si>
  <si>
    <t>Voir l'onglet Dimensionnment</t>
  </si>
  <si>
    <t xml:space="preserve">Population (Spécifier l'année): </t>
  </si>
  <si>
    <t xml:space="preserve">Demande foisonné annuelle MWh/an </t>
  </si>
  <si>
    <t>MWh/an</t>
  </si>
  <si>
    <t>Prime fixe lié à l'ampérage demandé 
ou au type de kit solaires
FCFA/mois</t>
  </si>
  <si>
    <t>Tarif moyen de la catégorie
FCFA/kWh</t>
  </si>
  <si>
    <t>Facture 
mensuelle 
moyenne
FCFA/mois</t>
  </si>
  <si>
    <t>Tarif forfaitaire (kit 1)</t>
  </si>
  <si>
    <t>Tarif forfaitaire (kit 2)</t>
  </si>
  <si>
    <t>Tarif forfaitaire (kit 3)</t>
  </si>
  <si>
    <t>Tarif forfaitaire (kit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</si>
</sst>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 &quot;€&quot;;[Red]\-#,##0\ &quot;€&quot;"/>
    <numFmt numFmtId="165" formatCode="_-* #,##0.00\ &quot;€&quot;_-;\-* #,##0.00\ &quot;€&quot;_-;_-* &quot;-&quot;??\ &quot;€&quot;_-;_-@_-"/>
    <numFmt numFmtId="166" formatCode="_-* #,##0.00_-;\-* #,##0.00_-;_-* &quot;-&quot;??_-;_-@_-"/>
    <numFmt numFmtId="167" formatCode="_-* #,##0.00\ _€_-;\-* #,##0.00\ _€_-;_-* &quot;-&quot;??\ _€_-;_-@_-"/>
    <numFmt numFmtId="168" formatCode="0.000"/>
    <numFmt numFmtId="169" formatCode="_-* #,##0\ _€_-;\-* #,##0\ _€_-;_-* &quot;-&quot;??\ _€_-;_-@_-"/>
    <numFmt numFmtId="170" formatCode="[$$-C09]#,##0.00"/>
    <numFmt numFmtId="171" formatCode="#,##0.0"/>
    <numFmt numFmtId="172" formatCode="_-* #,##0.0\ _€_-;\-* #,##0.0\ _€_-;_-* &quot;-&quot;??\ _€_-;_-@_-"/>
    <numFmt numFmtId="173" formatCode="0.0"/>
    <numFmt numFmtId="174" formatCode="_-* #,##0_-;\-* #,##0_-;_-* &quot;-&quot;??_-;_-@_-"/>
    <numFmt numFmtId="175" formatCode="#&quot; kWh/j &quot;"/>
    <numFmt numFmtId="176" formatCode="#&quot; Wc &quot;"/>
    <numFmt numFmtId="177" formatCode="#,##0.00_ ;\-#,##0.00\ "/>
    <numFmt numFmtId="178" formatCode="#,##0_ ;\-#,##0\ "/>
  </numFmts>
  <fonts count="48"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0"/>
      <name val="Arial"/>
      <family val="2"/>
    </font>
    <font>
      <b/>
      <i/>
      <sz val="10"/>
      <name val="Arial"/>
      <family val="2"/>
    </font>
    <font>
      <b/>
      <sz val="10"/>
      <name val="Arial"/>
      <family val="2"/>
    </font>
    <font>
      <sz val="10"/>
      <color indexed="8"/>
      <name val="Arial"/>
      <family val="2"/>
    </font>
    <font>
      <sz val="10"/>
      <color indexed="10"/>
      <name val="Arial"/>
      <family val="2"/>
    </font>
    <font>
      <sz val="10"/>
      <color rgb="FFFF0000"/>
      <name val="Arial"/>
      <family val="2"/>
    </font>
    <font>
      <b/>
      <sz val="10"/>
      <color indexed="8"/>
      <name val="Arial"/>
      <family val="2"/>
    </font>
    <font>
      <sz val="8"/>
      <name val="Verdana"/>
      <family val="2"/>
    </font>
    <font>
      <i/>
      <sz val="10"/>
      <name val="Arial"/>
      <family val="2"/>
    </font>
    <font>
      <sz val="9"/>
      <color indexed="81"/>
      <name val="Tahoma"/>
      <family val="2"/>
    </font>
    <font>
      <sz val="12"/>
      <color theme="1"/>
      <name val="Calibri"/>
      <family val="2"/>
      <scheme val="minor"/>
    </font>
    <font>
      <b/>
      <sz val="9"/>
      <color indexed="81"/>
      <name val="Tahoma"/>
      <family val="2"/>
    </font>
    <font>
      <b/>
      <sz val="11"/>
      <color theme="1"/>
      <name val="Calibri"/>
      <family val="2"/>
      <scheme val="minor"/>
    </font>
    <font>
      <b/>
      <sz val="18"/>
      <color theme="0"/>
      <name val="Calibri"/>
      <family val="2"/>
      <scheme val="minor"/>
    </font>
    <font>
      <b/>
      <sz val="14"/>
      <color theme="1"/>
      <name val="Calibri"/>
      <family val="2"/>
      <scheme val="minor"/>
    </font>
    <font>
      <b/>
      <sz val="11"/>
      <name val="Arial Narrow"/>
      <family val="2"/>
    </font>
    <font>
      <sz val="11"/>
      <name val="Arial Narrow"/>
      <family val="2"/>
    </font>
    <font>
      <sz val="11"/>
      <color rgb="FFFF0000"/>
      <name val="Arial Narrow"/>
      <family val="2"/>
    </font>
    <font>
      <vertAlign val="subscript"/>
      <sz val="11"/>
      <name val="Arial Narrow"/>
      <family val="2"/>
    </font>
    <font>
      <sz val="10"/>
      <name val="Arial Narrow"/>
      <family val="2"/>
    </font>
    <font>
      <sz val="10"/>
      <color theme="1"/>
      <name val="Calibri"/>
      <family val="2"/>
      <scheme val="minor"/>
    </font>
    <font>
      <sz val="10"/>
      <color rgb="FF0070C0"/>
      <name val="Calibri"/>
      <family val="2"/>
      <scheme val="minor"/>
    </font>
    <font>
      <i/>
      <sz val="10"/>
      <color rgb="FF0070C0"/>
      <name val="Calibri"/>
      <family val="2"/>
      <scheme val="minor"/>
    </font>
    <font>
      <b/>
      <sz val="10"/>
      <color theme="1"/>
      <name val="Calibri"/>
      <family val="2"/>
      <scheme val="minor"/>
    </font>
    <font>
      <b/>
      <sz val="10"/>
      <color rgb="FF0070C0"/>
      <name val="Calibri"/>
      <family val="2"/>
      <scheme val="minor"/>
    </font>
    <font>
      <b/>
      <sz val="10"/>
      <name val="Calibri"/>
      <family val="2"/>
      <scheme val="minor"/>
    </font>
    <font>
      <b/>
      <i/>
      <sz val="10"/>
      <color theme="1"/>
      <name val="Calibri"/>
      <family val="2"/>
      <scheme val="minor"/>
    </font>
    <font>
      <b/>
      <i/>
      <sz val="10"/>
      <color rgb="FF0070C0"/>
      <name val="Calibri"/>
      <family val="2"/>
      <scheme val="minor"/>
    </font>
    <font>
      <b/>
      <sz val="14"/>
      <color rgb="FFFF0000"/>
      <name val="Calibri"/>
      <family val="2"/>
      <scheme val="minor"/>
    </font>
    <font>
      <sz val="14"/>
      <color rgb="FFFF0000"/>
      <name val="Calibri"/>
      <family val="2"/>
      <scheme val="minor"/>
    </font>
    <font>
      <sz val="11"/>
      <color theme="8" tint="-0.249977111117893"/>
      <name val="Arial Narrow"/>
      <family val="2"/>
    </font>
    <font>
      <sz val="8"/>
      <name val="Calibri"/>
      <family val="2"/>
      <scheme val="minor"/>
    </font>
    <font>
      <sz val="10"/>
      <color theme="8" tint="-0.249977111117893"/>
      <name val="Arial Narrow"/>
      <family val="2"/>
    </font>
    <font>
      <sz val="11"/>
      <color theme="4"/>
      <name val="Arial Narrow"/>
      <family val="2"/>
    </font>
    <font>
      <sz val="11"/>
      <color theme="4"/>
      <name val="Calibri"/>
      <family val="2"/>
      <scheme val="minor"/>
    </font>
    <font>
      <sz val="10"/>
      <color theme="4"/>
      <name val="Arial Narrow"/>
      <family val="2"/>
    </font>
    <font>
      <sz val="11"/>
      <name val="Calibri"/>
      <family val="2"/>
      <scheme val="minor"/>
    </font>
    <font>
      <b/>
      <sz val="11"/>
      <name val="Calibri"/>
      <family val="2"/>
      <scheme val="minor"/>
    </font>
    <font>
      <b/>
      <sz val="11"/>
      <name val="Arial"/>
      <family val="2"/>
    </font>
    <font>
      <b/>
      <i/>
      <sz val="11"/>
      <name val="Arial"/>
      <family val="2"/>
    </font>
    <font>
      <sz val="11"/>
      <name val="Arial"/>
      <family val="2"/>
    </font>
    <font>
      <sz val="11"/>
      <color rgb="FFFF0000"/>
      <name val="Arial"/>
      <family val="2"/>
    </font>
    <font>
      <u/>
      <sz val="11"/>
      <color theme="10"/>
      <name val="Calibri"/>
      <family val="2"/>
      <scheme val="minor"/>
    </font>
    <font>
      <b/>
      <sz val="12"/>
      <color theme="10"/>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theme="7" tint="0.39997558519241921"/>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7">
    <xf numFmtId="0" fontId="0" fillId="0" borderId="0"/>
    <xf numFmtId="166"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0" fontId="14" fillId="0" borderId="0"/>
    <xf numFmtId="167" fontId="14" fillId="0" borderId="0" applyFont="0" applyFill="0" applyBorder="0" applyAlignment="0" applyProtection="0"/>
    <xf numFmtId="0" fontId="46" fillId="0" borderId="0" applyNumberFormat="0" applyFill="0" applyBorder="0" applyAlignment="0" applyProtection="0"/>
  </cellStyleXfs>
  <cellXfs count="332">
    <xf numFmtId="0" fontId="0" fillId="0" borderId="0" xfId="0"/>
    <xf numFmtId="0" fontId="3" fillId="2" borderId="0" xfId="0" applyFont="1" applyFill="1"/>
    <xf numFmtId="0" fontId="2" fillId="2" borderId="0" xfId="0" applyFont="1" applyFill="1"/>
    <xf numFmtId="0" fontId="2" fillId="0" borderId="0" xfId="0" applyFont="1" applyFill="1"/>
    <xf numFmtId="0" fontId="4" fillId="0" borderId="0" xfId="0" applyFont="1"/>
    <xf numFmtId="49" fontId="5" fillId="3" borderId="0" xfId="0" applyNumberFormat="1" applyFont="1" applyFill="1"/>
    <xf numFmtId="0" fontId="6" fillId="3" borderId="0" xfId="0" applyFont="1" applyFill="1" applyAlignment="1">
      <alignment horizontal="center"/>
    </xf>
    <xf numFmtId="0" fontId="6" fillId="3" borderId="0" xfId="0" applyFont="1" applyFill="1" applyAlignment="1">
      <alignment horizontal="left"/>
    </xf>
    <xf numFmtId="0" fontId="4" fillId="3" borderId="0" xfId="0" applyFont="1" applyFill="1"/>
    <xf numFmtId="49" fontId="4" fillId="0" borderId="0" xfId="0" applyNumberFormat="1" applyFont="1"/>
    <xf numFmtId="0" fontId="4" fillId="4" borderId="0" xfId="0" applyFont="1" applyFill="1" applyAlignment="1" applyProtection="1">
      <alignment horizontal="right"/>
      <protection locked="0"/>
    </xf>
    <xf numFmtId="0" fontId="4" fillId="5" borderId="0" xfId="0" applyFont="1" applyFill="1" applyProtection="1">
      <protection locked="0"/>
    </xf>
    <xf numFmtId="1" fontId="7" fillId="6" borderId="0" xfId="0" applyNumberFormat="1" applyFont="1" applyFill="1" applyBorder="1" applyAlignment="1" applyProtection="1">
      <protection locked="0"/>
    </xf>
    <xf numFmtId="0" fontId="4" fillId="0" borderId="0" xfId="0" applyFont="1" applyAlignment="1"/>
    <xf numFmtId="0" fontId="4" fillId="5" borderId="0" xfId="0" applyFont="1" applyFill="1" applyAlignment="1" applyProtection="1">
      <protection locked="0"/>
    </xf>
    <xf numFmtId="49" fontId="5" fillId="0" borderId="0" xfId="0" applyNumberFormat="1" applyFont="1"/>
    <xf numFmtId="10" fontId="4" fillId="0" borderId="0" xfId="0" applyNumberFormat="1" applyFont="1" applyFill="1"/>
    <xf numFmtId="10" fontId="4" fillId="0" borderId="0" xfId="0" applyNumberFormat="1" applyFont="1"/>
    <xf numFmtId="49" fontId="4" fillId="0" borderId="0" xfId="0" applyNumberFormat="1" applyFont="1" applyBorder="1" applyAlignment="1">
      <alignment horizontal="left"/>
    </xf>
    <xf numFmtId="0" fontId="4" fillId="6" borderId="0" xfId="0" applyFont="1" applyFill="1" applyAlignment="1" applyProtection="1">
      <alignment horizontal="right"/>
      <protection locked="0"/>
    </xf>
    <xf numFmtId="168" fontId="7" fillId="6" borderId="0" xfId="0" applyNumberFormat="1" applyFont="1" applyFill="1" applyAlignment="1" applyProtection="1">
      <protection locked="0"/>
    </xf>
    <xf numFmtId="168" fontId="8" fillId="0" borderId="0" xfId="0" applyNumberFormat="1" applyFont="1"/>
    <xf numFmtId="1" fontId="7" fillId="0" borderId="0" xfId="0" applyNumberFormat="1" applyFont="1" applyFill="1" applyAlignment="1"/>
    <xf numFmtId="0" fontId="4" fillId="3" borderId="0" xfId="0" applyFont="1" applyFill="1" applyAlignment="1"/>
    <xf numFmtId="10" fontId="4" fillId="3" borderId="0" xfId="0" applyNumberFormat="1" applyFont="1" applyFill="1"/>
    <xf numFmtId="49" fontId="4" fillId="0" borderId="0" xfId="0" applyNumberFormat="1" applyFont="1" applyFill="1" applyBorder="1"/>
    <xf numFmtId="0" fontId="4" fillId="0" borderId="0" xfId="0" applyFont="1" applyFill="1"/>
    <xf numFmtId="0" fontId="4" fillId="0" borderId="0" xfId="0" applyFont="1" applyAlignment="1" applyProtection="1">
      <protection locked="0"/>
    </xf>
    <xf numFmtId="0" fontId="4" fillId="0" borderId="0" xfId="0" applyFont="1" applyProtection="1">
      <protection locked="0"/>
    </xf>
    <xf numFmtId="0" fontId="0" fillId="0" borderId="0" xfId="0" applyFill="1"/>
    <xf numFmtId="9" fontId="8" fillId="0" borderId="0" xfId="0" applyNumberFormat="1" applyFont="1" applyFill="1" applyAlignment="1"/>
    <xf numFmtId="0" fontId="4" fillId="0" borderId="0" xfId="0" applyFont="1" applyFill="1" applyAlignment="1"/>
    <xf numFmtId="49" fontId="4" fillId="0" borderId="0" xfId="0" applyNumberFormat="1" applyFont="1" applyFill="1"/>
    <xf numFmtId="10" fontId="4" fillId="6" borderId="0" xfId="0" applyNumberFormat="1" applyFont="1" applyFill="1" applyAlignment="1" applyProtection="1">
      <protection locked="0"/>
    </xf>
    <xf numFmtId="169" fontId="4" fillId="5" borderId="0" xfId="1" applyNumberFormat="1" applyFont="1" applyFill="1" applyProtection="1">
      <protection locked="0"/>
    </xf>
    <xf numFmtId="10" fontId="4" fillId="0" borderId="0" xfId="0" applyNumberFormat="1" applyFont="1" applyFill="1" applyAlignment="1"/>
    <xf numFmtId="169" fontId="7" fillId="6" borderId="0" xfId="1" applyNumberFormat="1" applyFont="1" applyFill="1" applyAlignment="1" applyProtection="1">
      <protection locked="0"/>
    </xf>
    <xf numFmtId="1" fontId="7" fillId="6" borderId="0" xfId="0" applyNumberFormat="1" applyFont="1" applyFill="1" applyAlignment="1" applyProtection="1">
      <protection locked="0"/>
    </xf>
    <xf numFmtId="2" fontId="7" fillId="4" borderId="0" xfId="0" applyNumberFormat="1" applyFont="1" applyFill="1" applyAlignment="1" applyProtection="1">
      <protection locked="0"/>
    </xf>
    <xf numFmtId="169" fontId="4" fillId="6" borderId="0" xfId="1" applyNumberFormat="1" applyFont="1" applyFill="1" applyProtection="1">
      <protection locked="0"/>
    </xf>
    <xf numFmtId="2" fontId="4" fillId="0" borderId="0" xfId="0" applyNumberFormat="1" applyFont="1" applyFill="1" applyAlignment="1"/>
    <xf numFmtId="2" fontId="7" fillId="6" borderId="0" xfId="0" applyNumberFormat="1" applyFont="1" applyFill="1" applyAlignment="1" applyProtection="1">
      <protection locked="0"/>
    </xf>
    <xf numFmtId="3" fontId="8" fillId="0" borderId="0" xfId="0" applyNumberFormat="1" applyFont="1"/>
    <xf numFmtId="2" fontId="7" fillId="0" borderId="0" xfId="0" applyNumberFormat="1" applyFont="1" applyFill="1" applyAlignment="1"/>
    <xf numFmtId="0" fontId="7" fillId="3" borderId="0" xfId="0" applyFont="1" applyFill="1" applyAlignment="1"/>
    <xf numFmtId="9" fontId="4" fillId="6" borderId="0" xfId="0" applyNumberFormat="1" applyFont="1" applyFill="1" applyAlignment="1" applyProtection="1">
      <protection locked="0"/>
    </xf>
    <xf numFmtId="9" fontId="4" fillId="0" borderId="0" xfId="0" applyNumberFormat="1" applyFont="1"/>
    <xf numFmtId="3" fontId="4" fillId="6" borderId="0" xfId="0" applyNumberFormat="1" applyFont="1" applyFill="1" applyAlignment="1" applyProtection="1">
      <protection locked="0"/>
    </xf>
    <xf numFmtId="170" fontId="4" fillId="0" borderId="0" xfId="0" applyNumberFormat="1" applyFont="1"/>
    <xf numFmtId="165" fontId="4" fillId="0" borderId="0" xfId="3" applyFont="1"/>
    <xf numFmtId="9" fontId="4" fillId="0" borderId="0" xfId="2" applyFont="1"/>
    <xf numFmtId="9" fontId="10" fillId="4" borderId="2" xfId="0" applyNumberFormat="1" applyFont="1" applyFill="1" applyBorder="1" applyAlignment="1" applyProtection="1">
      <protection locked="0"/>
    </xf>
    <xf numFmtId="9" fontId="4" fillId="5" borderId="0" xfId="0" applyNumberFormat="1" applyFont="1" applyFill="1" applyProtection="1">
      <protection locked="0"/>
    </xf>
    <xf numFmtId="9" fontId="6" fillId="4" borderId="3" xfId="0" applyNumberFormat="1" applyFont="1" applyFill="1" applyBorder="1" applyAlignment="1" applyProtection="1">
      <protection locked="0"/>
    </xf>
    <xf numFmtId="9" fontId="4" fillId="4" borderId="0" xfId="0" applyNumberFormat="1" applyFont="1" applyFill="1" applyBorder="1" applyAlignment="1" applyProtection="1">
      <protection locked="0"/>
    </xf>
    <xf numFmtId="10" fontId="4" fillId="0" borderId="0" xfId="0" applyNumberFormat="1" applyFont="1" applyFill="1" applyBorder="1" applyAlignment="1"/>
    <xf numFmtId="3" fontId="4" fillId="5" borderId="0" xfId="0" applyNumberFormat="1" applyFont="1" applyFill="1" applyAlignment="1" applyProtection="1">
      <protection locked="0"/>
    </xf>
    <xf numFmtId="169" fontId="4" fillId="4" borderId="0" xfId="1" applyNumberFormat="1" applyFont="1" applyFill="1" applyAlignment="1" applyProtection="1">
      <protection locked="0"/>
    </xf>
    <xf numFmtId="9" fontId="10" fillId="4" borderId="1" xfId="0" applyNumberFormat="1" applyFont="1" applyFill="1" applyBorder="1" applyAlignment="1" applyProtection="1">
      <protection locked="0"/>
    </xf>
    <xf numFmtId="3" fontId="4" fillId="4" borderId="0" xfId="0" applyNumberFormat="1" applyFont="1" applyFill="1" applyAlignment="1" applyProtection="1">
      <protection locked="0"/>
    </xf>
    <xf numFmtId="10" fontId="4" fillId="4" borderId="0" xfId="0" applyNumberFormat="1" applyFont="1" applyFill="1" applyAlignment="1" applyProtection="1">
      <protection locked="0"/>
    </xf>
    <xf numFmtId="4" fontId="4" fillId="4" borderId="0" xfId="0" applyNumberFormat="1" applyFont="1" applyFill="1" applyAlignment="1" applyProtection="1">
      <alignment horizontal="right"/>
      <protection locked="0"/>
    </xf>
    <xf numFmtId="49" fontId="4" fillId="0" borderId="0" xfId="0" applyNumberFormat="1" applyFont="1" applyFill="1" applyBorder="1" applyAlignment="1">
      <alignment horizontal="left"/>
    </xf>
    <xf numFmtId="4" fontId="4" fillId="4" borderId="0" xfId="0" applyNumberFormat="1" applyFont="1" applyFill="1" applyAlignment="1" applyProtection="1">
      <protection locked="0"/>
    </xf>
    <xf numFmtId="171" fontId="4" fillId="6" borderId="0" xfId="0" applyNumberFormat="1" applyFont="1" applyFill="1" applyAlignment="1" applyProtection="1">
      <protection locked="0"/>
    </xf>
    <xf numFmtId="164" fontId="4" fillId="5" borderId="0" xfId="0" applyNumberFormat="1" applyFont="1" applyFill="1" applyProtection="1">
      <protection locked="0"/>
    </xf>
    <xf numFmtId="172" fontId="4" fillId="4" borderId="0" xfId="1" applyNumberFormat="1" applyFont="1" applyFill="1" applyAlignment="1" applyProtection="1">
      <protection locked="0"/>
    </xf>
    <xf numFmtId="9" fontId="4" fillId="4" borderId="0" xfId="2" applyFont="1" applyFill="1" applyAlignment="1" applyProtection="1">
      <protection locked="0"/>
    </xf>
    <xf numFmtId="169" fontId="4" fillId="4" borderId="0" xfId="1" applyNumberFormat="1" applyFont="1" applyFill="1" applyProtection="1">
      <protection locked="0"/>
    </xf>
    <xf numFmtId="169" fontId="0" fillId="4" borderId="0" xfId="1" applyNumberFormat="1" applyFont="1" applyFill="1" applyProtection="1">
      <protection locked="0"/>
    </xf>
    <xf numFmtId="9" fontId="4" fillId="4" borderId="0" xfId="2" applyFont="1" applyFill="1" applyBorder="1" applyAlignment="1" applyProtection="1">
      <protection locked="0"/>
    </xf>
    <xf numFmtId="0" fontId="11" fillId="5" borderId="0" xfId="0" applyFont="1" applyFill="1" applyBorder="1" applyAlignment="1" applyProtection="1">
      <alignment horizontal="center"/>
      <protection locked="0"/>
    </xf>
    <xf numFmtId="0" fontId="4" fillId="5" borderId="0" xfId="0" applyFont="1" applyFill="1" applyBorder="1" applyProtection="1">
      <protection locked="0"/>
    </xf>
    <xf numFmtId="0" fontId="11" fillId="0" borderId="0" xfId="0" applyFont="1" applyFill="1" applyBorder="1" applyAlignment="1">
      <alignment horizontal="center"/>
    </xf>
    <xf numFmtId="0" fontId="4" fillId="0" borderId="0" xfId="0" applyFont="1" applyFill="1" applyBorder="1"/>
    <xf numFmtId="0" fontId="9" fillId="5" borderId="0" xfId="0" applyFont="1" applyFill="1" applyBorder="1" applyProtection="1">
      <protection locked="0"/>
    </xf>
    <xf numFmtId="0" fontId="9" fillId="0" borderId="0" xfId="0" applyFont="1" applyFill="1" applyBorder="1"/>
    <xf numFmtId="9" fontId="4" fillId="0" borderId="0" xfId="2" applyFont="1" applyFill="1" applyAlignment="1"/>
    <xf numFmtId="9" fontId="11" fillId="0" borderId="0" xfId="0" applyNumberFormat="1" applyFont="1" applyFill="1" applyBorder="1" applyAlignment="1" applyProtection="1">
      <alignment horizontal="center"/>
      <protection locked="0"/>
    </xf>
    <xf numFmtId="173" fontId="4" fillId="0" borderId="0" xfId="0" applyNumberFormat="1" applyFont="1" applyFill="1"/>
    <xf numFmtId="0" fontId="6" fillId="0" borderId="0" xfId="0" applyFont="1"/>
    <xf numFmtId="0" fontId="4" fillId="0" borderId="0" xfId="0" applyFont="1" applyFill="1" applyBorder="1" applyAlignment="1">
      <alignment vertical="center"/>
    </xf>
    <xf numFmtId="2" fontId="4" fillId="0" borderId="0" xfId="0" applyNumberFormat="1" applyFont="1" applyFill="1"/>
    <xf numFmtId="0" fontId="0" fillId="2" borderId="0" xfId="0" applyFill="1"/>
    <xf numFmtId="0" fontId="0" fillId="7" borderId="0" xfId="0" applyFill="1"/>
    <xf numFmtId="0" fontId="12" fillId="0" borderId="12" xfId="0" applyFont="1" applyFill="1" applyBorder="1"/>
    <xf numFmtId="0" fontId="12" fillId="0" borderId="13" xfId="0" applyFont="1" applyFill="1" applyBorder="1"/>
    <xf numFmtId="0" fontId="12" fillId="0" borderId="0" xfId="0" applyFont="1" applyFill="1" applyBorder="1"/>
    <xf numFmtId="0" fontId="12" fillId="0" borderId="15" xfId="0" applyFont="1" applyFill="1" applyBorder="1"/>
    <xf numFmtId="169" fontId="12" fillId="0" borderId="15" xfId="0" applyNumberFormat="1" applyFont="1" applyFill="1" applyBorder="1"/>
    <xf numFmtId="0" fontId="6" fillId="7" borderId="10" xfId="0" applyFont="1" applyFill="1" applyBorder="1"/>
    <xf numFmtId="0" fontId="9" fillId="3" borderId="10" xfId="0" applyFont="1" applyFill="1" applyBorder="1"/>
    <xf numFmtId="0" fontId="4" fillId="0" borderId="0" xfId="0" applyFont="1" applyFill="1" applyAlignment="1" applyProtection="1">
      <protection locked="0"/>
    </xf>
    <xf numFmtId="10" fontId="4" fillId="4" borderId="3" xfId="0" applyNumberFormat="1" applyFont="1" applyFill="1" applyBorder="1" applyAlignment="1" applyProtection="1">
      <protection locked="0"/>
    </xf>
    <xf numFmtId="1" fontId="4" fillId="4" borderId="0" xfId="0" applyNumberFormat="1" applyFont="1" applyFill="1" applyProtection="1">
      <protection locked="0"/>
    </xf>
    <xf numFmtId="9" fontId="10" fillId="4" borderId="0" xfId="0" applyNumberFormat="1" applyFont="1" applyFill="1" applyBorder="1" applyAlignment="1" applyProtection="1">
      <protection locked="0"/>
    </xf>
    <xf numFmtId="9" fontId="6" fillId="4" borderId="0" xfId="0" applyNumberFormat="1" applyFont="1" applyFill="1" applyBorder="1" applyAlignment="1" applyProtection="1">
      <protection locked="0"/>
    </xf>
    <xf numFmtId="0" fontId="17" fillId="7" borderId="0" xfId="0" applyFont="1" applyFill="1" applyAlignment="1">
      <alignment vertical="center" wrapText="1"/>
    </xf>
    <xf numFmtId="0" fontId="0" fillId="0" borderId="4" xfId="0" applyBorder="1"/>
    <xf numFmtId="1" fontId="0" fillId="0" borderId="4" xfId="0" applyNumberFormat="1" applyBorder="1" applyProtection="1"/>
    <xf numFmtId="0" fontId="18" fillId="0" borderId="0" xfId="0" applyFont="1"/>
    <xf numFmtId="0" fontId="19" fillId="9" borderId="0" xfId="0" applyFont="1" applyFill="1"/>
    <xf numFmtId="0" fontId="20" fillId="0" borderId="0" xfId="0" applyFont="1" applyFill="1"/>
    <xf numFmtId="0" fontId="20" fillId="0" borderId="0" xfId="0" applyFont="1" applyFill="1" applyAlignment="1">
      <alignment horizontal="center" vertical="center"/>
    </xf>
    <xf numFmtId="0" fontId="20" fillId="0" borderId="18" xfId="0" applyFont="1" applyFill="1" applyBorder="1"/>
    <xf numFmtId="0" fontId="20" fillId="0" borderId="20" xfId="0" applyFont="1" applyFill="1" applyBorder="1"/>
    <xf numFmtId="9" fontId="20" fillId="0" borderId="0" xfId="0" applyNumberFormat="1" applyFont="1" applyFill="1"/>
    <xf numFmtId="0" fontId="20" fillId="0" borderId="22" xfId="0" applyFont="1" applyFill="1" applyBorder="1"/>
    <xf numFmtId="0" fontId="19" fillId="0" borderId="18" xfId="0" applyFont="1" applyFill="1" applyBorder="1" applyAlignment="1">
      <alignment horizontal="center"/>
    </xf>
    <xf numFmtId="0" fontId="19" fillId="0" borderId="24" xfId="0" applyFont="1" applyFill="1" applyBorder="1" applyAlignment="1">
      <alignment horizontal="center" vertical="center"/>
    </xf>
    <xf numFmtId="0" fontId="19" fillId="0" borderId="19" xfId="0" applyFont="1" applyFill="1" applyBorder="1" applyAlignment="1">
      <alignment horizontal="center" vertical="center"/>
    </xf>
    <xf numFmtId="173" fontId="20" fillId="0" borderId="0" xfId="0" applyNumberFormat="1" applyFont="1" applyFill="1"/>
    <xf numFmtId="0" fontId="20" fillId="0" borderId="18" xfId="0" applyFont="1" applyFill="1" applyBorder="1" applyAlignment="1">
      <alignment horizontal="left" vertical="center" wrapText="1"/>
    </xf>
    <xf numFmtId="0" fontId="20" fillId="0" borderId="0" xfId="0" applyFont="1" applyFill="1" applyAlignment="1">
      <alignment horizontal="left" vertical="center"/>
    </xf>
    <xf numFmtId="0" fontId="20" fillId="0" borderId="20"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19" fillId="9" borderId="0" xfId="0" applyFont="1" applyFill="1" applyAlignment="1">
      <alignment wrapText="1"/>
    </xf>
    <xf numFmtId="0" fontId="20" fillId="9" borderId="0" xfId="0" applyFont="1" applyFill="1"/>
    <xf numFmtId="0" fontId="19" fillId="0" borderId="18" xfId="0" applyFont="1" applyFill="1" applyBorder="1" applyAlignment="1">
      <alignment horizontal="center" vertical="top"/>
    </xf>
    <xf numFmtId="0" fontId="20" fillId="0" borderId="19" xfId="0" applyFont="1" applyFill="1" applyBorder="1" applyAlignment="1">
      <alignment vertical="top"/>
    </xf>
    <xf numFmtId="0" fontId="20" fillId="0" borderId="20" xfId="0" applyFont="1" applyFill="1" applyBorder="1" applyAlignment="1">
      <alignment vertical="top"/>
    </xf>
    <xf numFmtId="0" fontId="20" fillId="0" borderId="22" xfId="0" applyFont="1" applyFill="1" applyBorder="1" applyAlignment="1">
      <alignment vertical="top"/>
    </xf>
    <xf numFmtId="0" fontId="20" fillId="0" borderId="14" xfId="0" applyFont="1" applyFill="1" applyBorder="1" applyAlignment="1">
      <alignment vertical="top"/>
    </xf>
    <xf numFmtId="0" fontId="20" fillId="0" borderId="0" xfId="0" applyFont="1" applyFill="1" applyBorder="1" applyAlignment="1">
      <alignment horizontal="center" vertical="top"/>
    </xf>
    <xf numFmtId="0" fontId="20" fillId="0" borderId="22" xfId="0" applyFont="1" applyFill="1" applyBorder="1" applyAlignment="1">
      <alignment vertical="center"/>
    </xf>
    <xf numFmtId="0" fontId="19" fillId="0" borderId="19" xfId="0" applyFont="1" applyFill="1" applyBorder="1" applyAlignment="1">
      <alignment horizontal="center" vertical="top"/>
    </xf>
    <xf numFmtId="0" fontId="20" fillId="0" borderId="0" xfId="0" applyFont="1" applyFill="1" applyBorder="1" applyAlignment="1">
      <alignment vertical="top"/>
    </xf>
    <xf numFmtId="0" fontId="19" fillId="0" borderId="19" xfId="0" applyFont="1" applyFill="1" applyBorder="1" applyAlignment="1">
      <alignment horizontal="right" vertical="top"/>
    </xf>
    <xf numFmtId="0" fontId="23" fillId="0" borderId="0" xfId="0" applyFont="1" applyFill="1"/>
    <xf numFmtId="0" fontId="20" fillId="0" borderId="18" xfId="0" applyFont="1" applyFill="1" applyBorder="1" applyAlignment="1">
      <alignment horizontal="center"/>
    </xf>
    <xf numFmtId="0" fontId="20" fillId="0" borderId="24" xfId="0" applyFont="1" applyFill="1" applyBorder="1" applyAlignment="1">
      <alignment horizontal="center"/>
    </xf>
    <xf numFmtId="0" fontId="23" fillId="0" borderId="19" xfId="0" applyFont="1" applyFill="1" applyBorder="1"/>
    <xf numFmtId="0" fontId="20" fillId="0" borderId="4" xfId="0" applyFont="1" applyFill="1" applyBorder="1" applyAlignment="1">
      <alignment horizontal="center"/>
    </xf>
    <xf numFmtId="0" fontId="20" fillId="0" borderId="25" xfId="0" applyFont="1" applyFill="1" applyBorder="1" applyAlignment="1">
      <alignment horizontal="center"/>
    </xf>
    <xf numFmtId="0" fontId="19" fillId="9" borderId="26" xfId="0" applyFont="1" applyFill="1" applyBorder="1" applyAlignment="1">
      <alignment wrapText="1"/>
    </xf>
    <xf numFmtId="0" fontId="20" fillId="0" borderId="26" xfId="0" applyFont="1" applyFill="1" applyBorder="1"/>
    <xf numFmtId="0" fontId="24" fillId="7" borderId="0" xfId="0" applyFont="1" applyFill="1"/>
    <xf numFmtId="0" fontId="24" fillId="3" borderId="9" xfId="4" applyFont="1" applyFill="1" applyBorder="1"/>
    <xf numFmtId="0" fontId="24" fillId="3" borderId="10" xfId="4" applyFont="1" applyFill="1" applyBorder="1"/>
    <xf numFmtId="0" fontId="24" fillId="3" borderId="8" xfId="4" applyFont="1" applyFill="1" applyBorder="1"/>
    <xf numFmtId="0" fontId="24" fillId="0" borderId="0" xfId="0" applyFont="1"/>
    <xf numFmtId="0" fontId="24" fillId="7" borderId="0" xfId="4" applyFont="1" applyFill="1"/>
    <xf numFmtId="0" fontId="24" fillId="5" borderId="9" xfId="4" applyFont="1" applyFill="1" applyBorder="1" applyProtection="1">
      <protection locked="0"/>
    </xf>
    <xf numFmtId="0" fontId="24" fillId="5" borderId="10" xfId="4" applyFont="1" applyFill="1" applyBorder="1" applyProtection="1">
      <protection locked="0"/>
    </xf>
    <xf numFmtId="0" fontId="24" fillId="0" borderId="9" xfId="4" applyFont="1" applyBorder="1"/>
    <xf numFmtId="0" fontId="24" fillId="0" borderId="8" xfId="4" applyFont="1" applyBorder="1"/>
    <xf numFmtId="0" fontId="24" fillId="0" borderId="9" xfId="4" applyFont="1" applyBorder="1" applyAlignment="1">
      <alignment horizontal="center" vertical="center"/>
    </xf>
    <xf numFmtId="0" fontId="25" fillId="0" borderId="8" xfId="4" applyFont="1" applyBorder="1" applyAlignment="1">
      <alignment horizontal="center" vertical="center"/>
    </xf>
    <xf numFmtId="0" fontId="24" fillId="4" borderId="14" xfId="4" applyFont="1" applyFill="1" applyBorder="1" applyProtection="1">
      <protection locked="0"/>
    </xf>
    <xf numFmtId="0" fontId="24" fillId="0" borderId="12" xfId="4" applyFont="1" applyBorder="1"/>
    <xf numFmtId="0" fontId="24" fillId="4" borderId="11" xfId="4" applyFont="1" applyFill="1" applyBorder="1" applyProtection="1">
      <protection locked="0"/>
    </xf>
    <xf numFmtId="0" fontId="24" fillId="0" borderId="13" xfId="4" applyFont="1" applyBorder="1"/>
    <xf numFmtId="169" fontId="24" fillId="4" borderId="11" xfId="4" applyNumberFormat="1" applyFont="1" applyFill="1" applyBorder="1" applyProtection="1">
      <protection locked="0"/>
    </xf>
    <xf numFmtId="169" fontId="25" fillId="0" borderId="13" xfId="4" applyNumberFormat="1" applyFont="1" applyBorder="1"/>
    <xf numFmtId="0" fontId="24" fillId="0" borderId="0" xfId="4" applyFont="1" applyBorder="1"/>
    <xf numFmtId="0" fontId="24" fillId="0" borderId="15" xfId="4" applyFont="1" applyBorder="1"/>
    <xf numFmtId="169" fontId="24" fillId="4" borderId="14" xfId="4" applyNumberFormat="1" applyFont="1" applyFill="1" applyBorder="1" applyProtection="1">
      <protection locked="0"/>
    </xf>
    <xf numFmtId="169" fontId="25" fillId="0" borderId="15" xfId="4" applyNumberFormat="1" applyFont="1" applyBorder="1"/>
    <xf numFmtId="169" fontId="24" fillId="4" borderId="0" xfId="4" applyNumberFormat="1" applyFont="1" applyFill="1" applyBorder="1" applyProtection="1">
      <protection locked="0"/>
    </xf>
    <xf numFmtId="0" fontId="24" fillId="0" borderId="5" xfId="0" applyFont="1" applyBorder="1"/>
    <xf numFmtId="0" fontId="24" fillId="4" borderId="16" xfId="0" applyFont="1" applyFill="1" applyBorder="1" applyProtection="1">
      <protection locked="0"/>
    </xf>
    <xf numFmtId="0" fontId="24" fillId="0" borderId="17" xfId="4" applyFont="1" applyBorder="1"/>
    <xf numFmtId="169" fontId="24" fillId="4" borderId="5" xfId="4" applyNumberFormat="1" applyFont="1" applyFill="1" applyBorder="1" applyProtection="1">
      <protection locked="0"/>
    </xf>
    <xf numFmtId="169" fontId="25" fillId="0" borderId="17" xfId="4" applyNumberFormat="1" applyFont="1" applyBorder="1"/>
    <xf numFmtId="169" fontId="26" fillId="0" borderId="15" xfId="4" applyNumberFormat="1" applyFont="1" applyFill="1" applyBorder="1"/>
    <xf numFmtId="0" fontId="24" fillId="0" borderId="0" xfId="0" applyFont="1" applyFill="1" applyBorder="1"/>
    <xf numFmtId="0" fontId="24" fillId="0" borderId="15" xfId="0" applyFont="1" applyFill="1" applyBorder="1"/>
    <xf numFmtId="0" fontId="27" fillId="7" borderId="9" xfId="4" applyFont="1" applyFill="1" applyBorder="1"/>
    <xf numFmtId="169" fontId="27" fillId="0" borderId="10" xfId="4" applyNumberFormat="1" applyFont="1" applyFill="1" applyBorder="1"/>
    <xf numFmtId="169" fontId="28" fillId="0" borderId="8" xfId="4" applyNumberFormat="1" applyFont="1" applyFill="1" applyBorder="1"/>
    <xf numFmtId="0" fontId="24" fillId="3" borderId="10" xfId="0" applyFont="1" applyFill="1" applyBorder="1"/>
    <xf numFmtId="0" fontId="24" fillId="3" borderId="8" xfId="0" applyFont="1" applyFill="1" applyBorder="1"/>
    <xf numFmtId="0" fontId="24" fillId="4" borderId="9" xfId="4" applyFont="1" applyFill="1" applyBorder="1" applyProtection="1">
      <protection locked="0"/>
    </xf>
    <xf numFmtId="169" fontId="27" fillId="0" borderId="9" xfId="4" applyNumberFormat="1" applyFont="1" applyBorder="1"/>
    <xf numFmtId="169" fontId="28" fillId="0" borderId="8" xfId="4" applyNumberFormat="1" applyFont="1" applyBorder="1"/>
    <xf numFmtId="0" fontId="27" fillId="0" borderId="4" xfId="4" applyFont="1" applyBorder="1" applyAlignment="1">
      <alignment horizontal="center" vertical="center" wrapText="1"/>
    </xf>
    <xf numFmtId="0" fontId="24" fillId="4" borderId="4" xfId="4" applyFont="1" applyFill="1" applyBorder="1" applyProtection="1">
      <protection locked="0"/>
    </xf>
    <xf numFmtId="169" fontId="24" fillId="4" borderId="4" xfId="1" applyNumberFormat="1" applyFont="1" applyFill="1" applyBorder="1" applyAlignment="1" applyProtection="1">
      <alignment horizontal="center"/>
      <protection locked="0"/>
    </xf>
    <xf numFmtId="0" fontId="24" fillId="4" borderId="4" xfId="4" applyFont="1" applyFill="1" applyBorder="1" applyAlignment="1" applyProtection="1">
      <alignment horizontal="center"/>
      <protection locked="0"/>
    </xf>
    <xf numFmtId="169" fontId="29" fillId="0" borderId="4" xfId="5" applyNumberFormat="1" applyFont="1" applyFill="1" applyBorder="1" applyAlignment="1">
      <alignment horizontal="center"/>
    </xf>
    <xf numFmtId="169" fontId="28" fillId="0" borderId="4" xfId="5" applyNumberFormat="1" applyFont="1" applyBorder="1" applyAlignment="1">
      <alignment horizontal="center"/>
    </xf>
    <xf numFmtId="169" fontId="29" fillId="7" borderId="4" xfId="5" applyNumberFormat="1" applyFont="1" applyFill="1" applyBorder="1" applyAlignment="1">
      <alignment horizontal="center"/>
    </xf>
    <xf numFmtId="169" fontId="28" fillId="7" borderId="4" xfId="5" applyNumberFormat="1" applyFont="1" applyFill="1" applyBorder="1" applyAlignment="1">
      <alignment horizontal="center"/>
    </xf>
    <xf numFmtId="0" fontId="30" fillId="7" borderId="10" xfId="4" applyFont="1" applyFill="1" applyBorder="1"/>
    <xf numFmtId="169" fontId="30" fillId="7" borderId="10" xfId="4" applyNumberFormat="1" applyFont="1" applyFill="1" applyBorder="1"/>
    <xf numFmtId="169" fontId="31" fillId="7" borderId="8" xfId="4" applyNumberFormat="1" applyFont="1" applyFill="1" applyBorder="1"/>
    <xf numFmtId="0" fontId="27" fillId="7" borderId="10" xfId="4" applyFont="1" applyFill="1" applyBorder="1"/>
    <xf numFmtId="169" fontId="27" fillId="7" borderId="10" xfId="4" applyNumberFormat="1" applyFont="1" applyFill="1" applyBorder="1"/>
    <xf numFmtId="169" fontId="28" fillId="7" borderId="8" xfId="4" applyNumberFormat="1" applyFont="1" applyFill="1" applyBorder="1"/>
    <xf numFmtId="0" fontId="24" fillId="0" borderId="4" xfId="0" applyFont="1" applyFill="1" applyBorder="1"/>
    <xf numFmtId="0" fontId="24" fillId="0" borderId="4" xfId="0" applyFont="1" applyBorder="1"/>
    <xf numFmtId="0" fontId="24" fillId="4" borderId="4" xfId="0" applyFont="1" applyFill="1" applyBorder="1" applyProtection="1">
      <protection locked="0"/>
    </xf>
    <xf numFmtId="3" fontId="24" fillId="4" borderId="4" xfId="0" applyNumberFormat="1" applyFont="1" applyFill="1" applyBorder="1" applyProtection="1">
      <protection locked="0"/>
    </xf>
    <xf numFmtId="3" fontId="24" fillId="0" borderId="4" xfId="0" applyNumberFormat="1" applyFont="1" applyBorder="1"/>
    <xf numFmtId="9" fontId="24" fillId="0" borderId="4" xfId="2" applyFont="1" applyBorder="1"/>
    <xf numFmtId="0" fontId="24" fillId="0" borderId="4" xfId="0" applyFont="1" applyBorder="1" applyAlignment="1">
      <alignment horizontal="center" vertical="center"/>
    </xf>
    <xf numFmtId="0" fontId="24" fillId="0" borderId="4" xfId="0" applyFont="1" applyBorder="1" applyAlignment="1">
      <alignment horizontal="center" vertical="center" wrapText="1"/>
    </xf>
    <xf numFmtId="0" fontId="24" fillId="0" borderId="4" xfId="0" applyFont="1" applyFill="1" applyBorder="1" applyAlignment="1">
      <alignment horizontal="center" vertical="center" wrapText="1"/>
    </xf>
    <xf numFmtId="0" fontId="0" fillId="0" borderId="0" xfId="0" applyAlignment="1">
      <alignment horizontal="center" vertical="center"/>
    </xf>
    <xf numFmtId="0" fontId="32" fillId="7" borderId="0" xfId="0" applyFont="1" applyFill="1"/>
    <xf numFmtId="0" fontId="32" fillId="7" borderId="0" xfId="0" applyFont="1" applyFill="1" applyAlignment="1">
      <alignment vertical="center" wrapText="1"/>
    </xf>
    <xf numFmtId="0" fontId="33" fillId="7" borderId="0" xfId="0" applyFont="1" applyFill="1"/>
    <xf numFmtId="0" fontId="33" fillId="0" borderId="0" xfId="0" applyFont="1"/>
    <xf numFmtId="0" fontId="20" fillId="4" borderId="19" xfId="0" applyFont="1" applyFill="1" applyBorder="1"/>
    <xf numFmtId="0" fontId="20" fillId="4" borderId="21" xfId="0" applyFont="1" applyFill="1" applyBorder="1"/>
    <xf numFmtId="10" fontId="20" fillId="4" borderId="21" xfId="2" applyNumberFormat="1" applyFont="1" applyFill="1" applyBorder="1"/>
    <xf numFmtId="10" fontId="20" fillId="4" borderId="23" xfId="2" applyNumberFormat="1" applyFont="1" applyFill="1" applyBorder="1"/>
    <xf numFmtId="9" fontId="20" fillId="4" borderId="25" xfId="2" applyNumberFormat="1" applyFont="1" applyFill="1" applyBorder="1"/>
    <xf numFmtId="9" fontId="20" fillId="4" borderId="23" xfId="2" applyNumberFormat="1" applyFont="1" applyFill="1" applyBorder="1"/>
    <xf numFmtId="0" fontId="20" fillId="4" borderId="19" xfId="0" applyFont="1" applyFill="1" applyBorder="1" applyAlignment="1">
      <alignment horizontal="left" vertical="center"/>
    </xf>
    <xf numFmtId="175" fontId="20" fillId="4" borderId="21" xfId="0" applyNumberFormat="1" applyFont="1" applyFill="1" applyBorder="1" applyAlignment="1">
      <alignment horizontal="left" vertical="center"/>
    </xf>
    <xf numFmtId="9" fontId="20" fillId="4" borderId="21" xfId="2" applyNumberFormat="1" applyFont="1" applyFill="1" applyBorder="1" applyAlignment="1">
      <alignment horizontal="left" vertical="center"/>
    </xf>
    <xf numFmtId="0" fontId="20" fillId="4" borderId="21" xfId="0" applyFont="1" applyFill="1" applyBorder="1" applyAlignment="1">
      <alignment horizontal="left" vertical="center"/>
    </xf>
    <xf numFmtId="176" fontId="20" fillId="4" borderId="23" xfId="0" applyNumberFormat="1" applyFont="1" applyFill="1" applyBorder="1" applyAlignment="1">
      <alignment horizontal="left" vertical="center"/>
    </xf>
    <xf numFmtId="0" fontId="20" fillId="4" borderId="21" xfId="0" applyFont="1" applyFill="1" applyBorder="1" applyAlignment="1">
      <alignment vertical="top"/>
    </xf>
    <xf numFmtId="0" fontId="20" fillId="4" borderId="21" xfId="0" applyFont="1" applyFill="1" applyBorder="1" applyAlignment="1">
      <alignment horizontal="center" vertical="top"/>
    </xf>
    <xf numFmtId="0" fontId="20" fillId="4" borderId="23" xfId="0" applyFont="1" applyFill="1" applyBorder="1" applyAlignment="1">
      <alignment horizontal="center" vertical="top"/>
    </xf>
    <xf numFmtId="0" fontId="34" fillId="0" borderId="0" xfId="0" applyFont="1" applyFill="1"/>
    <xf numFmtId="0" fontId="16" fillId="0" borderId="0" xfId="0" applyFont="1"/>
    <xf numFmtId="0" fontId="19" fillId="0" borderId="4" xfId="0" applyFont="1" applyFill="1" applyBorder="1"/>
    <xf numFmtId="0" fontId="19" fillId="0" borderId="0" xfId="0" applyFont="1" applyFill="1"/>
    <xf numFmtId="0" fontId="34" fillId="0" borderId="0" xfId="0" applyFont="1" applyFill="1" applyAlignment="1">
      <alignment horizontal="left" vertical="center"/>
    </xf>
    <xf numFmtId="0" fontId="36" fillId="0" borderId="0" xfId="0" applyFont="1" applyFill="1" applyAlignment="1">
      <alignment horizontal="left" vertical="center"/>
    </xf>
    <xf numFmtId="0" fontId="36" fillId="0" borderId="0" xfId="0" applyFont="1" applyFill="1"/>
    <xf numFmtId="1" fontId="20" fillId="0" borderId="4" xfId="0" applyNumberFormat="1" applyFont="1" applyFill="1" applyBorder="1"/>
    <xf numFmtId="1" fontId="16" fillId="0" borderId="4" xfId="0" applyNumberFormat="1" applyFont="1" applyBorder="1"/>
    <xf numFmtId="0" fontId="37" fillId="0" borderId="0" xfId="0" applyFont="1" applyFill="1"/>
    <xf numFmtId="0" fontId="38" fillId="0" borderId="0" xfId="0" applyFont="1"/>
    <xf numFmtId="0" fontId="20" fillId="7" borderId="21" xfId="0" applyFont="1" applyFill="1" applyBorder="1"/>
    <xf numFmtId="0" fontId="37" fillId="0" borderId="0" xfId="0" applyFont="1"/>
    <xf numFmtId="0" fontId="37" fillId="0" borderId="0" xfId="0" applyFont="1" applyAlignment="1">
      <alignment horizontal="left" vertical="center"/>
    </xf>
    <xf numFmtId="0" fontId="34" fillId="0" borderId="27" xfId="0" applyFont="1" applyFill="1" applyBorder="1" applyAlignment="1">
      <alignment vertical="center" wrapText="1"/>
    </xf>
    <xf numFmtId="0" fontId="34" fillId="0" borderId="0" xfId="0" applyFont="1" applyFill="1" applyAlignment="1">
      <alignment vertical="center" wrapText="1"/>
    </xf>
    <xf numFmtId="0" fontId="39" fillId="0" borderId="0" xfId="0" applyFont="1"/>
    <xf numFmtId="0" fontId="19" fillId="0" borderId="28" xfId="0" applyFont="1" applyFill="1" applyBorder="1" applyAlignment="1">
      <alignment horizontal="center"/>
    </xf>
    <xf numFmtId="0" fontId="20" fillId="0" borderId="8" xfId="0" applyFont="1" applyFill="1" applyBorder="1"/>
    <xf numFmtId="0" fontId="40" fillId="0" borderId="8" xfId="0" applyFont="1" applyFill="1" applyBorder="1"/>
    <xf numFmtId="0" fontId="40" fillId="0" borderId="20" xfId="0" applyFont="1" applyFill="1" applyBorder="1"/>
    <xf numFmtId="0" fontId="0" fillId="0" borderId="0" xfId="0" applyFont="1"/>
    <xf numFmtId="0" fontId="41" fillId="0" borderId="18" xfId="0" applyFont="1" applyFill="1" applyBorder="1" applyAlignment="1">
      <alignment horizontal="center"/>
    </xf>
    <xf numFmtId="0" fontId="41" fillId="0" borderId="28" xfId="0" applyFont="1" applyFill="1" applyBorder="1" applyAlignment="1">
      <alignment horizontal="center"/>
    </xf>
    <xf numFmtId="0" fontId="41" fillId="0" borderId="24" xfId="0" applyFont="1" applyFill="1" applyBorder="1" applyAlignment="1">
      <alignment horizontal="center" vertical="center"/>
    </xf>
    <xf numFmtId="0" fontId="41" fillId="0" borderId="19" xfId="0" applyFont="1" applyFill="1" applyBorder="1" applyAlignment="1">
      <alignment horizontal="center" vertical="center"/>
    </xf>
    <xf numFmtId="2" fontId="40" fillId="4" borderId="4" xfId="0" applyNumberFormat="1" applyFont="1" applyFill="1" applyBorder="1"/>
    <xf numFmtId="2" fontId="40" fillId="4" borderId="21" xfId="0" applyNumberFormat="1" applyFont="1" applyFill="1" applyBorder="1"/>
    <xf numFmtId="0" fontId="40" fillId="4" borderId="4" xfId="0" applyFont="1" applyFill="1" applyBorder="1"/>
    <xf numFmtId="0" fontId="40" fillId="4" borderId="21" xfId="0" applyFont="1" applyFill="1" applyBorder="1"/>
    <xf numFmtId="1" fontId="40" fillId="4" borderId="4" xfId="0" applyNumberFormat="1" applyFont="1" applyFill="1" applyBorder="1" applyAlignment="1">
      <alignment horizontal="center"/>
    </xf>
    <xf numFmtId="1" fontId="40" fillId="4" borderId="21" xfId="0" applyNumberFormat="1" applyFont="1" applyFill="1" applyBorder="1" applyAlignment="1">
      <alignment horizontal="center"/>
    </xf>
    <xf numFmtId="1" fontId="40" fillId="0" borderId="4" xfId="0" applyNumberFormat="1" applyFont="1" applyFill="1" applyBorder="1"/>
    <xf numFmtId="1" fontId="40" fillId="0" borderId="21" xfId="0" applyNumberFormat="1" applyFont="1" applyFill="1" applyBorder="1"/>
    <xf numFmtId="0" fontId="41" fillId="0" borderId="4" xfId="0" applyFont="1" applyFill="1" applyBorder="1"/>
    <xf numFmtId="0" fontId="40" fillId="0" borderId="4" xfId="0" applyFont="1" applyFill="1" applyBorder="1"/>
    <xf numFmtId="0" fontId="0" fillId="0" borderId="4" xfId="0" applyFont="1" applyBorder="1"/>
    <xf numFmtId="0" fontId="40" fillId="0" borderId="4" xfId="0" applyFont="1" applyBorder="1" applyAlignment="1">
      <alignment wrapText="1"/>
    </xf>
    <xf numFmtId="169" fontId="0" fillId="4" borderId="4" xfId="1" applyNumberFormat="1" applyFont="1" applyFill="1" applyBorder="1" applyAlignment="1" applyProtection="1">
      <alignment wrapText="1"/>
      <protection locked="0"/>
    </xf>
    <xf numFmtId="0" fontId="41" fillId="0" borderId="4" xfId="0" applyFont="1" applyBorder="1" applyAlignment="1">
      <alignment wrapText="1"/>
    </xf>
    <xf numFmtId="169" fontId="41" fillId="0" borderId="4" xfId="1" applyNumberFormat="1" applyFont="1" applyFill="1" applyBorder="1" applyAlignment="1">
      <alignment wrapText="1"/>
    </xf>
    <xf numFmtId="0" fontId="41" fillId="0" borderId="18" xfId="0" applyFont="1" applyFill="1" applyBorder="1" applyAlignment="1">
      <alignment horizontal="left"/>
    </xf>
    <xf numFmtId="0" fontId="20" fillId="0" borderId="29" xfId="0" applyFont="1" applyFill="1" applyBorder="1"/>
    <xf numFmtId="0" fontId="41" fillId="0" borderId="8" xfId="0" applyFont="1" applyFill="1" applyBorder="1"/>
    <xf numFmtId="0" fontId="9" fillId="5" borderId="0" xfId="0" applyFont="1" applyFill="1" applyAlignment="1" applyProtection="1">
      <protection locked="0"/>
    </xf>
    <xf numFmtId="10" fontId="7" fillId="0" borderId="0" xfId="0" applyNumberFormat="1" applyFont="1" applyFill="1" applyAlignment="1" applyProtection="1"/>
    <xf numFmtId="10" fontId="4" fillId="0" borderId="0" xfId="0" applyNumberFormat="1" applyFont="1" applyFill="1" applyProtection="1"/>
    <xf numFmtId="177" fontId="0" fillId="4" borderId="4" xfId="1" applyNumberFormat="1" applyFont="1" applyFill="1" applyBorder="1" applyAlignment="1" applyProtection="1">
      <alignment wrapText="1"/>
      <protection locked="0"/>
    </xf>
    <xf numFmtId="178" fontId="0" fillId="4" borderId="4" xfId="1" applyNumberFormat="1" applyFont="1" applyFill="1" applyBorder="1" applyAlignment="1" applyProtection="1">
      <alignment wrapText="1"/>
      <protection locked="0"/>
    </xf>
    <xf numFmtId="0" fontId="20" fillId="0" borderId="20" xfId="0" applyFont="1" applyFill="1" applyBorder="1" applyAlignment="1">
      <alignment wrapText="1"/>
    </xf>
    <xf numFmtId="9" fontId="20" fillId="0" borderId="21" xfId="0" applyNumberFormat="1" applyFont="1" applyFill="1" applyBorder="1"/>
    <xf numFmtId="10" fontId="20" fillId="0" borderId="21" xfId="2" applyNumberFormat="1" applyFont="1" applyFill="1" applyBorder="1" applyAlignment="1">
      <alignment vertical="top" wrapText="1"/>
    </xf>
    <xf numFmtId="0" fontId="0" fillId="0" borderId="0" xfId="0" applyAlignment="1">
      <alignment horizontal="center" vertical="center" wrapText="1"/>
    </xf>
    <xf numFmtId="0" fontId="2" fillId="2" borderId="0" xfId="0" applyFont="1" applyFill="1" applyAlignment="1">
      <alignment wrapText="1"/>
    </xf>
    <xf numFmtId="0" fontId="0" fillId="2" borderId="0" xfId="0" applyFont="1" applyFill="1" applyAlignment="1">
      <alignment wrapText="1"/>
    </xf>
    <xf numFmtId="0" fontId="0" fillId="0" borderId="0" xfId="0" applyFont="1" applyAlignment="1">
      <alignment wrapText="1"/>
    </xf>
    <xf numFmtId="0" fontId="0" fillId="7" borderId="0" xfId="0" applyFont="1" applyFill="1" applyAlignment="1">
      <alignment wrapText="1"/>
    </xf>
    <xf numFmtId="0" fontId="42" fillId="3" borderId="4" xfId="0" applyFont="1" applyFill="1" applyBorder="1" applyAlignment="1">
      <alignment horizontal="center" vertical="center" wrapText="1"/>
    </xf>
    <xf numFmtId="0" fontId="0" fillId="7" borderId="0" xfId="0" applyFont="1" applyFill="1" applyAlignment="1">
      <alignment vertical="center" wrapText="1"/>
    </xf>
    <xf numFmtId="169" fontId="0" fillId="7" borderId="0" xfId="1" applyNumberFormat="1" applyFont="1" applyFill="1" applyAlignment="1">
      <alignment vertical="center" wrapText="1"/>
    </xf>
    <xf numFmtId="0" fontId="0" fillId="0" borderId="0" xfId="0" applyFont="1" applyAlignment="1">
      <alignment vertical="center" wrapText="1"/>
    </xf>
    <xf numFmtId="0" fontId="44" fillId="0" borderId="4" xfId="0" applyFont="1" applyBorder="1" applyAlignment="1">
      <alignment wrapText="1"/>
    </xf>
    <xf numFmtId="0" fontId="44" fillId="3" borderId="4" xfId="0" applyFont="1" applyFill="1" applyBorder="1" applyAlignment="1">
      <alignment horizontal="center" vertical="center" wrapText="1"/>
    </xf>
    <xf numFmtId="169" fontId="0" fillId="0" borderId="4" xfId="0" applyNumberFormat="1" applyFont="1" applyFill="1" applyBorder="1" applyAlignment="1" applyProtection="1">
      <alignment wrapText="1"/>
      <protection locked="0"/>
    </xf>
    <xf numFmtId="169" fontId="0" fillId="0" borderId="4" xfId="1" applyNumberFormat="1" applyFont="1" applyFill="1" applyBorder="1" applyAlignment="1" applyProtection="1">
      <alignment wrapText="1"/>
      <protection locked="0"/>
    </xf>
    <xf numFmtId="0" fontId="42" fillId="0" borderId="4" xfId="0" applyFont="1" applyBorder="1" applyAlignment="1">
      <alignment wrapText="1"/>
    </xf>
    <xf numFmtId="169" fontId="42" fillId="0" borderId="4" xfId="1" applyNumberFormat="1" applyFont="1" applyFill="1" applyBorder="1" applyAlignment="1">
      <alignment wrapText="1"/>
    </xf>
    <xf numFmtId="0" fontId="42" fillId="0" borderId="0" xfId="0" applyFont="1" applyBorder="1" applyAlignment="1">
      <alignment wrapText="1"/>
    </xf>
    <xf numFmtId="0" fontId="45" fillId="7" borderId="0" xfId="0" applyFont="1" applyFill="1" applyAlignment="1">
      <alignment vertical="center" wrapText="1"/>
    </xf>
    <xf numFmtId="169" fontId="42" fillId="0" borderId="0" xfId="1" applyNumberFormat="1" applyFont="1" applyFill="1" applyBorder="1" applyAlignment="1">
      <alignment wrapText="1"/>
    </xf>
    <xf numFmtId="0" fontId="42" fillId="0" borderId="4"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0" fillId="0" borderId="4" xfId="0" applyFont="1" applyFill="1" applyBorder="1" applyAlignment="1">
      <alignment wrapText="1"/>
    </xf>
    <xf numFmtId="0" fontId="42" fillId="0" borderId="0" xfId="0" applyFont="1" applyFill="1" applyBorder="1" applyAlignment="1">
      <alignment horizontal="left"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left" vertical="center" wrapText="1"/>
    </xf>
    <xf numFmtId="0" fontId="42" fillId="3" borderId="7" xfId="0" applyFont="1" applyFill="1" applyBorder="1" applyAlignment="1">
      <alignment horizontal="center" vertical="center" wrapText="1"/>
    </xf>
    <xf numFmtId="0" fontId="43" fillId="8" borderId="5" xfId="0" applyFont="1" applyFill="1" applyBorder="1" applyAlignment="1">
      <alignment wrapText="1"/>
    </xf>
    <xf numFmtId="0" fontId="45" fillId="7" borderId="0" xfId="0" applyFont="1" applyFill="1" applyAlignment="1">
      <alignment wrapText="1"/>
    </xf>
    <xf numFmtId="0" fontId="44" fillId="7" borderId="0" xfId="0" applyFont="1" applyFill="1" applyAlignment="1">
      <alignment wrapText="1"/>
    </xf>
    <xf numFmtId="0" fontId="44" fillId="3" borderId="7" xfId="0" applyFont="1" applyFill="1" applyBorder="1" applyAlignment="1">
      <alignment horizontal="center" vertical="center" wrapText="1"/>
    </xf>
    <xf numFmtId="0" fontId="44" fillId="8" borderId="4" xfId="0" applyFont="1" applyFill="1" applyBorder="1" applyAlignment="1">
      <alignment horizontal="center" wrapText="1"/>
    </xf>
    <xf numFmtId="174" fontId="0" fillId="4" borderId="4" xfId="1" applyNumberFormat="1" applyFont="1" applyFill="1" applyBorder="1" applyAlignment="1" applyProtection="1">
      <alignment wrapText="1"/>
      <protection locked="0"/>
    </xf>
    <xf numFmtId="0" fontId="44" fillId="0" borderId="0" xfId="0" applyFont="1" applyFill="1" applyAlignment="1">
      <alignment wrapText="1"/>
    </xf>
    <xf numFmtId="0" fontId="44" fillId="3" borderId="6" xfId="0" applyFont="1" applyFill="1" applyBorder="1" applyAlignment="1">
      <alignment horizontal="center" vertical="center" wrapText="1"/>
    </xf>
    <xf numFmtId="0" fontId="0" fillId="7" borderId="0" xfId="0" applyFont="1" applyFill="1" applyAlignment="1">
      <alignment horizontal="center" vertical="center" wrapText="1"/>
    </xf>
    <xf numFmtId="0" fontId="44" fillId="0" borderId="6" xfId="0" applyFont="1" applyFill="1" applyBorder="1" applyAlignment="1">
      <alignment horizontal="left" vertical="center" wrapText="1"/>
    </xf>
    <xf numFmtId="0" fontId="44" fillId="3" borderId="4" xfId="0" applyFont="1" applyFill="1" applyBorder="1" applyAlignment="1">
      <alignment horizontal="center" wrapText="1"/>
    </xf>
    <xf numFmtId="0" fontId="0" fillId="0" borderId="4" xfId="0" applyFont="1" applyFill="1" applyBorder="1" applyAlignment="1" applyProtection="1">
      <alignment wrapText="1"/>
      <protection locked="0"/>
    </xf>
    <xf numFmtId="0" fontId="42" fillId="3" borderId="4" xfId="0" applyFont="1" applyFill="1" applyBorder="1" applyAlignment="1">
      <alignment horizontal="center" wrapText="1"/>
    </xf>
    <xf numFmtId="0" fontId="42" fillId="0" borderId="4" xfId="0" applyFont="1" applyFill="1" applyBorder="1" applyAlignment="1">
      <alignment wrapText="1"/>
    </xf>
    <xf numFmtId="0" fontId="42" fillId="0" borderId="0" xfId="0" applyFont="1" applyAlignment="1">
      <alignment wrapText="1"/>
    </xf>
    <xf numFmtId="0" fontId="3" fillId="2" borderId="0" xfId="0" applyFont="1" applyFill="1" applyAlignment="1">
      <alignment horizontal="center" wrapText="1"/>
    </xf>
    <xf numFmtId="0" fontId="38" fillId="7" borderId="4" xfId="0" applyFont="1" applyFill="1" applyBorder="1" applyAlignment="1">
      <alignment horizontal="left" vertical="center" wrapText="1"/>
    </xf>
    <xf numFmtId="0" fontId="47" fillId="4" borderId="4" xfId="6" applyFont="1" applyFill="1" applyBorder="1" applyAlignment="1">
      <alignment horizontal="left" vertical="center"/>
    </xf>
    <xf numFmtId="0" fontId="38" fillId="7" borderId="4" xfId="0" applyFont="1" applyFill="1" applyBorder="1" applyAlignment="1">
      <alignment horizontal="left" wrapText="1"/>
    </xf>
    <xf numFmtId="0" fontId="47" fillId="4" borderId="9" xfId="6" applyFont="1" applyFill="1" applyBorder="1" applyAlignment="1">
      <alignment horizontal="left"/>
    </xf>
    <xf numFmtId="0" fontId="47" fillId="4" borderId="10" xfId="6" applyFont="1" applyFill="1" applyBorder="1" applyAlignment="1">
      <alignment horizontal="left"/>
    </xf>
    <xf numFmtId="0" fontId="47" fillId="4" borderId="8" xfId="6" applyFont="1" applyFill="1" applyBorder="1" applyAlignment="1">
      <alignment horizontal="left"/>
    </xf>
    <xf numFmtId="0" fontId="21" fillId="0" borderId="0" xfId="0" applyFont="1" applyFill="1" applyAlignment="1">
      <alignment horizontal="center" wrapText="1"/>
    </xf>
    <xf numFmtId="0" fontId="21" fillId="0" borderId="0" xfId="0" applyFont="1" applyFill="1" applyAlignment="1">
      <alignment horizontal="center"/>
    </xf>
    <xf numFmtId="9" fontId="34" fillId="0" borderId="27" xfId="0" applyNumberFormat="1" applyFont="1" applyFill="1" applyBorder="1" applyAlignment="1">
      <alignment horizontal="left" wrapText="1"/>
    </xf>
    <xf numFmtId="9" fontId="34" fillId="0" borderId="0" xfId="0" applyNumberFormat="1" applyFont="1" applyFill="1" applyAlignment="1">
      <alignment horizontal="left"/>
    </xf>
    <xf numFmtId="0" fontId="34" fillId="0" borderId="0" xfId="0" applyFont="1" applyFill="1" applyAlignment="1">
      <alignment horizontal="center" vertical="center" wrapText="1"/>
    </xf>
    <xf numFmtId="0" fontId="36" fillId="0" borderId="27" xfId="0" applyFont="1" applyFill="1" applyBorder="1" applyAlignment="1">
      <alignment horizontal="center" vertical="center" wrapText="1"/>
    </xf>
    <xf numFmtId="0" fontId="36" fillId="0" borderId="0" xfId="0" applyFont="1" applyFill="1" applyAlignment="1">
      <alignment horizontal="center" vertical="center" wrapText="1"/>
    </xf>
    <xf numFmtId="0" fontId="37" fillId="0" borderId="27" xfId="0" applyFont="1" applyFill="1" applyBorder="1" applyAlignment="1">
      <alignment horizontal="left" vertical="center" wrapText="1"/>
    </xf>
    <xf numFmtId="0" fontId="37" fillId="0" borderId="0" xfId="0" applyFont="1" applyFill="1" applyAlignment="1">
      <alignment horizontal="left" vertical="center"/>
    </xf>
    <xf numFmtId="0" fontId="37" fillId="0" borderId="27" xfId="0" applyFont="1" applyFill="1" applyBorder="1" applyAlignment="1">
      <alignment horizontal="left" vertical="center"/>
    </xf>
    <xf numFmtId="0" fontId="37" fillId="0" borderId="27" xfId="0" applyFont="1" applyBorder="1" applyAlignment="1">
      <alignment horizontal="center" wrapText="1"/>
    </xf>
    <xf numFmtId="0" fontId="37" fillId="0" borderId="0" xfId="0" applyFont="1" applyBorder="1" applyAlignment="1">
      <alignment horizontal="center" wrapText="1"/>
    </xf>
    <xf numFmtId="0" fontId="37" fillId="0" borderId="27" xfId="0" applyFont="1" applyBorder="1" applyAlignment="1">
      <alignment horizontal="left" vertical="top" wrapText="1"/>
    </xf>
    <xf numFmtId="0" fontId="37" fillId="0" borderId="0" xfId="0" applyFont="1" applyAlignment="1">
      <alignment horizontal="left" vertical="top" wrapText="1"/>
    </xf>
    <xf numFmtId="0" fontId="43" fillId="7" borderId="5" xfId="0" applyFont="1" applyFill="1" applyBorder="1" applyAlignment="1">
      <alignment wrapText="1"/>
    </xf>
    <xf numFmtId="0" fontId="43" fillId="8" borderId="5" xfId="0" applyFont="1" applyFill="1" applyBorder="1" applyAlignment="1">
      <alignment horizontal="center" vertical="center" wrapText="1"/>
    </xf>
  </cellXfs>
  <cellStyles count="7">
    <cellStyle name="Euro" xfId="3" xr:uid="{00000000-0005-0000-0000-000000000000}"/>
    <cellStyle name="Lien hypertexte" xfId="6" builtinId="8"/>
    <cellStyle name="Milliers" xfId="1" builtinId="3"/>
    <cellStyle name="Milliers 3" xfId="5" xr:uid="{00000000-0005-0000-0000-000002000000}"/>
    <cellStyle name="Normal" xfId="0" builtinId="0"/>
    <cellStyle name="Normal 3" xfId="4" xr:uid="{00000000-0005-0000-0000-000004000000}"/>
    <cellStyle name="Pourcentage" xfId="2" builtinId="5"/>
  </cellStyles>
  <dxfs count="4">
    <dxf>
      <font>
        <color rgb="FF9C0006"/>
      </font>
      <fill>
        <patternFill>
          <bgColor rgb="FFFFC7CE"/>
        </patternFill>
      </fill>
    </dxf>
    <dxf>
      <font>
        <color rgb="FF006100"/>
      </font>
      <fill>
        <patternFill>
          <bgColor rgb="FFC6EFCE"/>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Average Retail Tariff to achieve 5% FIRR</c:v>
          </c:tx>
          <c:spPr>
            <a:ln w="38100">
              <a:solidFill>
                <a:srgbClr val="000080"/>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0.00</c:formatCode>
                <c:ptCount val="1"/>
                <c:pt idx="0">
                  <c:v>1</c:v>
                </c:pt>
              </c:numCache>
            </c:numRef>
          </c:yVal>
          <c:smooth val="1"/>
          <c:extLst>
            <c:ext xmlns:c16="http://schemas.microsoft.com/office/drawing/2014/chart" uri="{C3380CC4-5D6E-409C-BE32-E72D297353CC}">
              <c16:uniqueId val="{00000000-B3B1-4AC8-B48E-A232EA7F1761}"/>
            </c:ext>
          </c:extLst>
        </c:ser>
        <c:ser>
          <c:idx val="1"/>
          <c:order val="1"/>
          <c:tx>
            <c:strRef>
              <c:f>'Parameters &amp; results'!#REF!</c:f>
              <c:strCache>
                <c:ptCount val="1"/>
                <c:pt idx="0">
                  <c:v>#REF!</c:v>
                </c:pt>
              </c:strCache>
            </c:strRef>
          </c:tx>
          <c:spPr>
            <a:ln w="38100">
              <a:solidFill>
                <a:srgbClr val="FF00FF"/>
              </a:solidFill>
              <a:prstDash val="solid"/>
            </a:ln>
          </c:spPr>
          <c:marker>
            <c:symbol val="none"/>
          </c:marker>
          <c:xVal>
            <c:numRef>
              <c:f>'Parameters &amp; results'!#REF!</c:f>
              <c:numCache>
                <c:formatCode>General</c:formatCode>
                <c:ptCount val="1"/>
                <c:pt idx="0">
                  <c:v>1</c:v>
                </c:pt>
              </c:numCache>
            </c:numRef>
          </c:xVal>
          <c:yVal>
            <c:numRef>
              <c:f>'Parameters &amp; results'!#REF!</c:f>
              <c:numCache>
                <c:formatCode>General</c:formatCode>
                <c:ptCount val="1"/>
                <c:pt idx="0">
                  <c:v>1</c:v>
                </c:pt>
              </c:numCache>
            </c:numRef>
          </c:yVal>
          <c:smooth val="0"/>
          <c:extLst>
            <c:ext xmlns:c16="http://schemas.microsoft.com/office/drawing/2014/chart" uri="{C3380CC4-5D6E-409C-BE32-E72D297353CC}">
              <c16:uniqueId val="{00000001-B3B1-4AC8-B48E-A232EA7F1761}"/>
            </c:ext>
          </c:extLst>
        </c:ser>
        <c:ser>
          <c:idx val="3"/>
          <c:order val="2"/>
          <c:tx>
            <c:strRef>
              <c:f>'Parameters &amp; results'!#REF!</c:f>
              <c:strCache>
                <c:ptCount val="1"/>
                <c:pt idx="0">
                  <c:v>#REF!</c:v>
                </c:pt>
              </c:strCache>
            </c:strRef>
          </c:tx>
          <c:spPr>
            <a:ln w="38100">
              <a:solidFill>
                <a:srgbClr val="00FFFF"/>
              </a:solidFill>
              <a:prstDash val="solid"/>
            </a:ln>
          </c:spPr>
          <c:marker>
            <c:symbol val="none"/>
          </c:marker>
          <c:xVal>
            <c:numRef>
              <c:f>'Parameters &amp; results'!#REF!</c:f>
              <c:numCache>
                <c:formatCode>General</c:formatCode>
                <c:ptCount val="1"/>
                <c:pt idx="0">
                  <c:v>1</c:v>
                </c:pt>
              </c:numCache>
            </c:numRef>
          </c:xVal>
          <c:yVal>
            <c:numRef>
              <c:f>'Parameters &amp; results'!#REF!</c:f>
              <c:numCache>
                <c:formatCode>General</c:formatCode>
                <c:ptCount val="1"/>
                <c:pt idx="0">
                  <c:v>1</c:v>
                </c:pt>
              </c:numCache>
            </c:numRef>
          </c:yVal>
          <c:smooth val="0"/>
          <c:extLst>
            <c:ext xmlns:c16="http://schemas.microsoft.com/office/drawing/2014/chart" uri="{C3380CC4-5D6E-409C-BE32-E72D297353CC}">
              <c16:uniqueId val="{00000002-B3B1-4AC8-B48E-A232EA7F1761}"/>
            </c:ext>
          </c:extLst>
        </c:ser>
        <c:dLbls>
          <c:showLegendKey val="0"/>
          <c:showVal val="0"/>
          <c:showCatName val="0"/>
          <c:showSerName val="0"/>
          <c:showPercent val="0"/>
          <c:showBubbleSize val="0"/>
        </c:dLbls>
        <c:axId val="126756624"/>
        <c:axId val="126757408"/>
      </c:scatterChart>
      <c:valAx>
        <c:axId val="126756624"/>
        <c:scaling>
          <c:orientation val="minMax"/>
          <c:max val="1"/>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26757408"/>
        <c:crosses val="autoZero"/>
        <c:crossBetween val="midCat"/>
      </c:valAx>
      <c:valAx>
        <c:axId val="126757408"/>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26756624"/>
        <c:crosses val="autoZero"/>
        <c:crossBetween val="midCat"/>
      </c:valAx>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38100">
              <a:solidFill>
                <a:srgbClr val="000080"/>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c:formatCode>
                <c:ptCount val="1"/>
                <c:pt idx="0">
                  <c:v>1</c:v>
                </c:pt>
              </c:numCache>
            </c:numRef>
          </c:yVal>
          <c:smooth val="1"/>
          <c:extLst>
            <c:ext xmlns:c15="http://schemas.microsoft.com/office/drawing/2012/chart" uri="{02D57815-91ED-43cb-92C2-25804820EDAC}">
              <c15:filteredSeriesTitle>
                <c15:tx>
                  <c:strRef>
                    <c:extLst xmlns:c16="http://schemas.microsoft.com/office/drawing/2014/chart">
                      <c:ext uri="{02D57815-91ED-43cb-92C2-25804820EDAC}">
                        <c15:formulaRef>
                          <c15:sqref>'Parameters &amp; results'!#REF!</c15:sqref>
                        </c15:formulaRef>
                      </c:ext>
                    </c:extLst>
                    <c:strCache>
                      <c:ptCount val="1"/>
                      <c:pt idx="0">
                        <c:v>#REF!</c:v>
                      </c:pt>
                    </c:strCache>
                  </c:strRef>
                </c15:tx>
              </c15:filteredSeriesTitle>
            </c:ext>
            <c:ext xmlns:c16="http://schemas.microsoft.com/office/drawing/2014/chart" uri="{C3380CC4-5D6E-409C-BE32-E72D297353CC}">
              <c16:uniqueId val="{00000000-5158-4A5C-A3B3-7C52CBFA8FCB}"/>
            </c:ext>
          </c:extLst>
        </c:ser>
        <c:ser>
          <c:idx val="1"/>
          <c:order val="1"/>
          <c:spPr>
            <a:ln w="38100">
              <a:solidFill>
                <a:srgbClr val="FF00FF"/>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c:formatCode>
                <c:ptCount val="1"/>
                <c:pt idx="0">
                  <c:v>1</c:v>
                </c:pt>
              </c:numCache>
            </c:numRef>
          </c:yVal>
          <c:smooth val="1"/>
          <c:extLst>
            <c:ext xmlns:c15="http://schemas.microsoft.com/office/drawing/2012/chart" uri="{02D57815-91ED-43cb-92C2-25804820EDAC}">
              <c15:filteredSeriesTitle>
                <c15:tx>
                  <c:strRef>
                    <c:extLst xmlns:c16="http://schemas.microsoft.com/office/drawing/2014/chart">
                      <c:ext uri="{02D57815-91ED-43cb-92C2-25804820EDAC}">
                        <c15:formulaRef>
                          <c15:sqref>'Parameters &amp; results'!#REF!</c15:sqref>
                        </c15:formulaRef>
                      </c:ext>
                    </c:extLst>
                    <c:strCache>
                      <c:ptCount val="1"/>
                      <c:pt idx="0">
                        <c:v>#REF!</c:v>
                      </c:pt>
                    </c:strCache>
                  </c:strRef>
                </c15:tx>
              </c15:filteredSeriesTitle>
            </c:ext>
            <c:ext xmlns:c16="http://schemas.microsoft.com/office/drawing/2014/chart" uri="{C3380CC4-5D6E-409C-BE32-E72D297353CC}">
              <c16:uniqueId val="{00000001-5158-4A5C-A3B3-7C52CBFA8FCB}"/>
            </c:ext>
          </c:extLst>
        </c:ser>
        <c:ser>
          <c:idx val="2"/>
          <c:order val="2"/>
          <c:spPr>
            <a:ln w="38100">
              <a:solidFill>
                <a:srgbClr val="FFFF00"/>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c:formatCode>
                <c:ptCount val="1"/>
                <c:pt idx="0">
                  <c:v>1</c:v>
                </c:pt>
              </c:numCache>
            </c:numRef>
          </c:yVal>
          <c:smooth val="1"/>
          <c:extLst>
            <c:ext xmlns:c15="http://schemas.microsoft.com/office/drawing/2012/chart" uri="{02D57815-91ED-43cb-92C2-25804820EDAC}">
              <c15:filteredSeriesTitle>
                <c15:tx>
                  <c:strRef>
                    <c:extLst xmlns:c16="http://schemas.microsoft.com/office/drawing/2014/chart">
                      <c:ext uri="{02D57815-91ED-43cb-92C2-25804820EDAC}">
                        <c15:formulaRef>
                          <c15:sqref>'Parameters &amp; results'!#REF!</c15:sqref>
                        </c15:formulaRef>
                      </c:ext>
                    </c:extLst>
                    <c:strCache>
                      <c:ptCount val="1"/>
                      <c:pt idx="0">
                        <c:v>#REF!</c:v>
                      </c:pt>
                    </c:strCache>
                  </c:strRef>
                </c15:tx>
              </c15:filteredSeriesTitle>
            </c:ext>
            <c:ext xmlns:c16="http://schemas.microsoft.com/office/drawing/2014/chart" uri="{C3380CC4-5D6E-409C-BE32-E72D297353CC}">
              <c16:uniqueId val="{00000002-5158-4A5C-A3B3-7C52CBFA8FCB}"/>
            </c:ext>
          </c:extLst>
        </c:ser>
        <c:dLbls>
          <c:showLegendKey val="0"/>
          <c:showVal val="0"/>
          <c:showCatName val="0"/>
          <c:showSerName val="0"/>
          <c:showPercent val="0"/>
          <c:showBubbleSize val="0"/>
        </c:dLbls>
        <c:axId val="163611312"/>
        <c:axId val="163607392"/>
      </c:scatterChart>
      <c:valAx>
        <c:axId val="163611312"/>
        <c:scaling>
          <c:orientation val="minMax"/>
          <c:max val="1"/>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63607392"/>
        <c:crosses val="autoZero"/>
        <c:crossBetween val="midCat"/>
      </c:valAx>
      <c:valAx>
        <c:axId val="16360739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63611312"/>
        <c:crosses val="autoZero"/>
        <c:crossBetween val="midCat"/>
      </c:valAx>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Average Retail Tariff to achieve 5% FIRR</c:v>
          </c:tx>
          <c:spPr>
            <a:ln w="38100">
              <a:solidFill>
                <a:srgbClr val="000080"/>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0.00</c:formatCode>
                <c:ptCount val="1"/>
                <c:pt idx="0">
                  <c:v>1</c:v>
                </c:pt>
              </c:numCache>
            </c:numRef>
          </c:yVal>
          <c:smooth val="1"/>
          <c:extLst>
            <c:ext xmlns:c16="http://schemas.microsoft.com/office/drawing/2014/chart" uri="{C3380CC4-5D6E-409C-BE32-E72D297353CC}">
              <c16:uniqueId val="{00000000-5EBF-4E78-B524-1F8CC3934069}"/>
            </c:ext>
          </c:extLst>
        </c:ser>
        <c:ser>
          <c:idx val="1"/>
          <c:order val="1"/>
          <c:tx>
            <c:strRef>
              <c:f>'Parameters &amp; results'!#REF!</c:f>
              <c:strCache>
                <c:ptCount val="1"/>
                <c:pt idx="0">
                  <c:v>#REF!</c:v>
                </c:pt>
              </c:strCache>
            </c:strRef>
          </c:tx>
          <c:spPr>
            <a:ln w="38100">
              <a:solidFill>
                <a:srgbClr val="FF00FF"/>
              </a:solidFill>
              <a:prstDash val="solid"/>
            </a:ln>
          </c:spPr>
          <c:marker>
            <c:symbol val="none"/>
          </c:marker>
          <c:xVal>
            <c:numRef>
              <c:f>'Parameters &amp; results'!#REF!</c:f>
              <c:numCache>
                <c:formatCode>General</c:formatCode>
                <c:ptCount val="1"/>
                <c:pt idx="0">
                  <c:v>1</c:v>
                </c:pt>
              </c:numCache>
            </c:numRef>
          </c:xVal>
          <c:yVal>
            <c:numRef>
              <c:f>'Parameters &amp; results'!#REF!</c:f>
              <c:numCache>
                <c:formatCode>General</c:formatCode>
                <c:ptCount val="1"/>
                <c:pt idx="0">
                  <c:v>1</c:v>
                </c:pt>
              </c:numCache>
            </c:numRef>
          </c:yVal>
          <c:smooth val="0"/>
          <c:extLst>
            <c:ext xmlns:c16="http://schemas.microsoft.com/office/drawing/2014/chart" uri="{C3380CC4-5D6E-409C-BE32-E72D297353CC}">
              <c16:uniqueId val="{00000001-5EBF-4E78-B524-1F8CC3934069}"/>
            </c:ext>
          </c:extLst>
        </c:ser>
        <c:ser>
          <c:idx val="3"/>
          <c:order val="2"/>
          <c:tx>
            <c:strRef>
              <c:f>'Parameters &amp; results'!#REF!</c:f>
              <c:strCache>
                <c:ptCount val="1"/>
                <c:pt idx="0">
                  <c:v>#REF!</c:v>
                </c:pt>
              </c:strCache>
            </c:strRef>
          </c:tx>
          <c:spPr>
            <a:ln w="38100">
              <a:solidFill>
                <a:srgbClr val="00FFFF"/>
              </a:solidFill>
              <a:prstDash val="solid"/>
            </a:ln>
          </c:spPr>
          <c:marker>
            <c:symbol val="none"/>
          </c:marker>
          <c:xVal>
            <c:numRef>
              <c:f>'Parameters &amp; results'!#REF!</c:f>
              <c:numCache>
                <c:formatCode>General</c:formatCode>
                <c:ptCount val="1"/>
                <c:pt idx="0">
                  <c:v>1</c:v>
                </c:pt>
              </c:numCache>
            </c:numRef>
          </c:xVal>
          <c:yVal>
            <c:numRef>
              <c:f>'Parameters &amp; results'!#REF!</c:f>
              <c:numCache>
                <c:formatCode>General</c:formatCode>
                <c:ptCount val="1"/>
                <c:pt idx="0">
                  <c:v>1</c:v>
                </c:pt>
              </c:numCache>
            </c:numRef>
          </c:yVal>
          <c:smooth val="0"/>
          <c:extLst>
            <c:ext xmlns:c16="http://schemas.microsoft.com/office/drawing/2014/chart" uri="{C3380CC4-5D6E-409C-BE32-E72D297353CC}">
              <c16:uniqueId val="{00000002-5EBF-4E78-B524-1F8CC3934069}"/>
            </c:ext>
          </c:extLst>
        </c:ser>
        <c:dLbls>
          <c:showLegendKey val="0"/>
          <c:showVal val="0"/>
          <c:showCatName val="0"/>
          <c:showSerName val="0"/>
          <c:showPercent val="0"/>
          <c:showBubbleSize val="0"/>
        </c:dLbls>
        <c:axId val="163608176"/>
        <c:axId val="163606216"/>
      </c:scatterChart>
      <c:valAx>
        <c:axId val="163608176"/>
        <c:scaling>
          <c:orientation val="minMax"/>
          <c:max val="1"/>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63606216"/>
        <c:crosses val="autoZero"/>
        <c:crossBetween val="midCat"/>
      </c:valAx>
      <c:valAx>
        <c:axId val="1636062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63608176"/>
        <c:crosses val="autoZero"/>
        <c:crossBetween val="midCat"/>
      </c:valAx>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38100">
              <a:solidFill>
                <a:srgbClr val="000080"/>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c:formatCode>
                <c:ptCount val="1"/>
                <c:pt idx="0">
                  <c:v>1</c:v>
                </c:pt>
              </c:numCache>
            </c:numRef>
          </c:yVal>
          <c:smooth val="1"/>
          <c:extLst>
            <c:ext xmlns:c15="http://schemas.microsoft.com/office/drawing/2012/chart" uri="{02D57815-91ED-43cb-92C2-25804820EDAC}">
              <c15:filteredSeriesTitle>
                <c15:tx>
                  <c:strRef>
                    <c:extLst xmlns:c16="http://schemas.microsoft.com/office/drawing/2014/chart">
                      <c:ext uri="{02D57815-91ED-43cb-92C2-25804820EDAC}">
                        <c15:formulaRef>
                          <c15:sqref>'Parameters &amp; results'!#REF!</c15:sqref>
                        </c15:formulaRef>
                      </c:ext>
                    </c:extLst>
                    <c:strCache>
                      <c:ptCount val="1"/>
                      <c:pt idx="0">
                        <c:v>#REF!</c:v>
                      </c:pt>
                    </c:strCache>
                  </c:strRef>
                </c15:tx>
              </c15:filteredSeriesTitle>
            </c:ext>
            <c:ext xmlns:c16="http://schemas.microsoft.com/office/drawing/2014/chart" uri="{C3380CC4-5D6E-409C-BE32-E72D297353CC}">
              <c16:uniqueId val="{00000000-F246-4039-949C-E5E50F5862FD}"/>
            </c:ext>
          </c:extLst>
        </c:ser>
        <c:ser>
          <c:idx val="1"/>
          <c:order val="1"/>
          <c:spPr>
            <a:ln w="38100">
              <a:solidFill>
                <a:srgbClr val="FF00FF"/>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c:formatCode>
                <c:ptCount val="1"/>
                <c:pt idx="0">
                  <c:v>1</c:v>
                </c:pt>
              </c:numCache>
            </c:numRef>
          </c:yVal>
          <c:smooth val="1"/>
          <c:extLst>
            <c:ext xmlns:c15="http://schemas.microsoft.com/office/drawing/2012/chart" uri="{02D57815-91ED-43cb-92C2-25804820EDAC}">
              <c15:filteredSeriesTitle>
                <c15:tx>
                  <c:strRef>
                    <c:extLst xmlns:c16="http://schemas.microsoft.com/office/drawing/2014/chart">
                      <c:ext uri="{02D57815-91ED-43cb-92C2-25804820EDAC}">
                        <c15:formulaRef>
                          <c15:sqref>'Parameters &amp; results'!#REF!</c15:sqref>
                        </c15:formulaRef>
                      </c:ext>
                    </c:extLst>
                    <c:strCache>
                      <c:ptCount val="1"/>
                      <c:pt idx="0">
                        <c:v>#REF!</c:v>
                      </c:pt>
                    </c:strCache>
                  </c:strRef>
                </c15:tx>
              </c15:filteredSeriesTitle>
            </c:ext>
            <c:ext xmlns:c16="http://schemas.microsoft.com/office/drawing/2014/chart" uri="{C3380CC4-5D6E-409C-BE32-E72D297353CC}">
              <c16:uniqueId val="{00000001-F246-4039-949C-E5E50F5862FD}"/>
            </c:ext>
          </c:extLst>
        </c:ser>
        <c:ser>
          <c:idx val="2"/>
          <c:order val="2"/>
          <c:spPr>
            <a:ln w="38100">
              <a:solidFill>
                <a:srgbClr val="FFFF00"/>
              </a:solidFill>
              <a:prstDash val="solid"/>
            </a:ln>
          </c:spPr>
          <c:marker>
            <c:symbol val="none"/>
          </c:marker>
          <c:xVal>
            <c:numRef>
              <c:f>'Parameters &amp; results'!#REF!</c:f>
              <c:numCache>
                <c:formatCode>General</c:formatCode>
                <c:ptCount val="1"/>
                <c:pt idx="0">
                  <c:v>1</c:v>
                </c:pt>
              </c:numCache>
            </c:numRef>
          </c:xVal>
          <c:yVal>
            <c:numRef>
              <c:f>'Parameters &amp; results'!#REF!</c:f>
              <c:numCache>
                <c:formatCode>0%</c:formatCode>
                <c:ptCount val="1"/>
                <c:pt idx="0">
                  <c:v>1</c:v>
                </c:pt>
              </c:numCache>
            </c:numRef>
          </c:yVal>
          <c:smooth val="1"/>
          <c:extLst>
            <c:ext xmlns:c15="http://schemas.microsoft.com/office/drawing/2012/chart" uri="{02D57815-91ED-43cb-92C2-25804820EDAC}">
              <c15:filteredSeriesTitle>
                <c15:tx>
                  <c:strRef>
                    <c:extLst xmlns:c16="http://schemas.microsoft.com/office/drawing/2014/chart">
                      <c:ext uri="{02D57815-91ED-43cb-92C2-25804820EDAC}">
                        <c15:formulaRef>
                          <c15:sqref>'Parameters &amp; results'!#REF!</c15:sqref>
                        </c15:formulaRef>
                      </c:ext>
                    </c:extLst>
                    <c:strCache>
                      <c:ptCount val="1"/>
                      <c:pt idx="0">
                        <c:v>#REF!</c:v>
                      </c:pt>
                    </c:strCache>
                  </c:strRef>
                </c15:tx>
              </c15:filteredSeriesTitle>
            </c:ext>
            <c:ext xmlns:c16="http://schemas.microsoft.com/office/drawing/2014/chart" uri="{C3380CC4-5D6E-409C-BE32-E72D297353CC}">
              <c16:uniqueId val="{00000002-F246-4039-949C-E5E50F5862FD}"/>
            </c:ext>
          </c:extLst>
        </c:ser>
        <c:dLbls>
          <c:showLegendKey val="0"/>
          <c:showVal val="0"/>
          <c:showCatName val="0"/>
          <c:showSerName val="0"/>
          <c:showPercent val="0"/>
          <c:showBubbleSize val="0"/>
        </c:dLbls>
        <c:axId val="163608568"/>
        <c:axId val="163610528"/>
      </c:scatterChart>
      <c:valAx>
        <c:axId val="163608568"/>
        <c:scaling>
          <c:orientation val="minMax"/>
          <c:max val="1"/>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63610528"/>
        <c:crosses val="autoZero"/>
        <c:crossBetween val="midCat"/>
      </c:valAx>
      <c:valAx>
        <c:axId val="163610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fr-FR"/>
          </a:p>
        </c:txPr>
        <c:crossAx val="163608568"/>
        <c:crosses val="autoZero"/>
        <c:crossBetween val="midCat"/>
      </c:valAx>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200025</xdr:colOff>
      <xdr:row>164</xdr:row>
      <xdr:rowOff>0</xdr:rowOff>
    </xdr:from>
    <xdr:to>
      <xdr:col>4</xdr:col>
      <xdr:colOff>409575</xdr:colOff>
      <xdr:row>164</xdr:row>
      <xdr:rowOff>0</xdr:rowOff>
    </xdr:to>
    <xdr:graphicFrame macro="">
      <xdr:nvGraphicFramePr>
        <xdr:cNvPr id="2" name="Graphique 60">
          <a:extLst>
            <a:ext uri="{FF2B5EF4-FFF2-40B4-BE49-F238E27FC236}">
              <a16:creationId xmlns:a16="http://schemas.microsoft.com/office/drawing/2014/main" id="{6B765192-C377-4C97-9006-2D03D32E6E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666750</xdr:colOff>
      <xdr:row>164</xdr:row>
      <xdr:rowOff>0</xdr:rowOff>
    </xdr:from>
    <xdr:to>
      <xdr:col>12</xdr:col>
      <xdr:colOff>276225</xdr:colOff>
      <xdr:row>164</xdr:row>
      <xdr:rowOff>0</xdr:rowOff>
    </xdr:to>
    <xdr:graphicFrame macro="">
      <xdr:nvGraphicFramePr>
        <xdr:cNvPr id="3" name="Graphique 61">
          <a:extLst>
            <a:ext uri="{FF2B5EF4-FFF2-40B4-BE49-F238E27FC236}">
              <a16:creationId xmlns:a16="http://schemas.microsoft.com/office/drawing/2014/main" id="{260A54AE-EC72-4BA4-AA5B-C8AE86F99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200025</xdr:colOff>
      <xdr:row>164</xdr:row>
      <xdr:rowOff>0</xdr:rowOff>
    </xdr:from>
    <xdr:to>
      <xdr:col>4</xdr:col>
      <xdr:colOff>409575</xdr:colOff>
      <xdr:row>164</xdr:row>
      <xdr:rowOff>0</xdr:rowOff>
    </xdr:to>
    <xdr:graphicFrame macro="">
      <xdr:nvGraphicFramePr>
        <xdr:cNvPr id="4" name="Graphique 377">
          <a:extLst>
            <a:ext uri="{FF2B5EF4-FFF2-40B4-BE49-F238E27FC236}">
              <a16:creationId xmlns:a16="http://schemas.microsoft.com/office/drawing/2014/main" id="{8A03624F-BBFF-4D9A-A44D-1434C5962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666750</xdr:colOff>
      <xdr:row>164</xdr:row>
      <xdr:rowOff>0</xdr:rowOff>
    </xdr:from>
    <xdr:to>
      <xdr:col>12</xdr:col>
      <xdr:colOff>276225</xdr:colOff>
      <xdr:row>164</xdr:row>
      <xdr:rowOff>0</xdr:rowOff>
    </xdr:to>
    <xdr:graphicFrame macro="">
      <xdr:nvGraphicFramePr>
        <xdr:cNvPr id="5" name="Graphique 378">
          <a:extLst>
            <a:ext uri="{FF2B5EF4-FFF2-40B4-BE49-F238E27FC236}">
              <a16:creationId xmlns:a16="http://schemas.microsoft.com/office/drawing/2014/main" id="{AE0EFC64-DA04-4407-8FC4-80D5C68C7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12192</xdr:colOff>
      <xdr:row>1</xdr:row>
      <xdr:rowOff>67235</xdr:rowOff>
    </xdr:from>
    <xdr:to>
      <xdr:col>5</xdr:col>
      <xdr:colOff>638735</xdr:colOff>
      <xdr:row>20</xdr:row>
      <xdr:rowOff>0</xdr:rowOff>
    </xdr:to>
    <xdr:sp macro="" textlink="">
      <xdr:nvSpPr>
        <xdr:cNvPr id="2" name="ZoneTexte 1">
          <a:extLst>
            <a:ext uri="{FF2B5EF4-FFF2-40B4-BE49-F238E27FC236}">
              <a16:creationId xmlns:a16="http://schemas.microsoft.com/office/drawing/2014/main" id="{BCC72323-2183-4D10-A75C-5D8D3486E33B}"/>
            </a:ext>
          </a:extLst>
        </xdr:cNvPr>
        <xdr:cNvSpPr txBox="1"/>
      </xdr:nvSpPr>
      <xdr:spPr>
        <a:xfrm>
          <a:off x="12192" y="295835"/>
          <a:ext cx="5474035" cy="33852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50"/>
            <a:t>Le soumissionnaire fait une</a:t>
          </a:r>
          <a:r>
            <a:rPr lang="da-DK" sz="1050" baseline="0"/>
            <a:t> proposition tarifaire pour chaque catégorie tarifaire qu'il a inclu dans son offre. </a:t>
          </a:r>
        </a:p>
        <a:p>
          <a:r>
            <a:rPr lang="da-DK" sz="1050" baseline="0"/>
            <a:t>Un tarif peut comprendre trois éléments:</a:t>
          </a:r>
        </a:p>
        <a:p>
          <a:r>
            <a:rPr lang="da-DK" sz="1050" baseline="0"/>
            <a:t>- une prime fixe par classe de consommateur reflétant le niveau d'ampérage demandé par le consommateur (ou le tarif forfaitaire du kit soalire)</a:t>
          </a:r>
        </a:p>
        <a:p>
          <a:r>
            <a:rPr lang="da-DK" sz="1050" baseline="0"/>
            <a:t>- une prime fixe identique pour tous les consommateurs reflétant les coûts de gestion du recouvrement et de plateforme de paiement</a:t>
          </a:r>
        </a:p>
        <a:p>
          <a:r>
            <a:rPr lang="da-DK" sz="1050" baseline="0"/>
            <a:t>- une partie variable ou tarif au kWh liée à la consommation directe de l'abonné. </a:t>
          </a:r>
        </a:p>
        <a:p>
          <a:endParaRPr lang="da-DK" sz="1050" baseline="0"/>
        </a:p>
        <a:p>
          <a:r>
            <a:rPr lang="da-DK" sz="1050" baseline="0"/>
            <a:t>Il peut également introduire une tarification par forfait. </a:t>
          </a:r>
        </a:p>
        <a:p>
          <a:endParaRPr lang="da-DK" sz="1050" baseline="0"/>
        </a:p>
        <a:p>
          <a:r>
            <a:rPr lang="da-DK" sz="1050" baseline="0"/>
            <a:t>Pour la tarification avec primes fixes et et tarif variable:</a:t>
          </a:r>
        </a:p>
        <a:p>
          <a:r>
            <a:rPr lang="da-DK" sz="1050" baseline="0"/>
            <a:t>Le tarif variable en FCFA/kWh n'est pas différencié à l'intérieur d'une classe tarifaire mais peut être différent pour chaque classe tarifaire. </a:t>
          </a:r>
        </a:p>
        <a:p>
          <a:r>
            <a:rPr lang="da-DK" sz="1050" baseline="0"/>
            <a:t>Il est recommandé que le montant de la prime fixe (Amp + gestion) ne représente pas plus que 25% de la facture mensuelle. </a:t>
          </a:r>
        </a:p>
        <a:p>
          <a:endParaRPr lang="da-DK" sz="1050" baseline="0"/>
        </a:p>
        <a:p>
          <a:r>
            <a:rPr lang="da-DK" sz="1050" baseline="0"/>
            <a:t>Les informations sur le nombre d'abonnés et la consommation en kWh sont données pour la cinquième année d'exploitation. </a:t>
          </a:r>
        </a:p>
        <a:p>
          <a:r>
            <a:rPr lang="da-DK" sz="1050" baseline="0"/>
            <a:t>Les chiffres dans la grille ne sont là que pour la vérification du tableur et à titre d'exemple</a:t>
          </a:r>
        </a:p>
        <a:p>
          <a:endParaRPr lang="da-DK" sz="105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Projets\BENIN\MCA%20-%20EHR\Formation%20BP\Mai%202019\Modele%20ecofin%20EHR%202019_05_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Hypothèses"/>
      <sheetName val="Energie"/>
      <sheetName val="CAPEX"/>
      <sheetName val="R&amp;OPEX"/>
      <sheetName val="Cash Flow"/>
      <sheetName val="Amortissement"/>
    </sheetNames>
    <sheetDataSet>
      <sheetData sheetId="0">
        <row r="18">
          <cell r="D18">
            <v>250.07259125639334</v>
          </cell>
        </row>
      </sheetData>
      <sheetData sheetId="1">
        <row r="120">
          <cell r="B120">
            <v>5000</v>
          </cell>
        </row>
        <row r="122">
          <cell r="B122">
            <v>0.02</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LAUDE Jean-Paul" id="{41D8A7B2-38C3-447E-A263-098C5791F23B}" userId="e4a7cd16596abd7c" providerId="Windows Liv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 dT="2019-10-10T16:49:22.55" personId="{41D8A7B2-38C3-447E-A263-098C5791F23B}" id="{818F4F27-0D77-4752-9E1C-E38E00A3AD9C}">
    <text>on peut faire le lien cela. cela évite les erreurs de saisie</text>
  </threadedComment>
</ThreadedComments>
</file>

<file path=xl/threadedComments/threadedComment2.xml><?xml version="1.0" encoding="utf-8"?>
<ThreadedComments xmlns="http://schemas.microsoft.com/office/spreadsheetml/2018/threadedcomments" xmlns:x="http://schemas.openxmlformats.org/spreadsheetml/2006/main">
  <threadedComment ref="A18" dT="2019-10-10T16:49:44.07" personId="{41D8A7B2-38C3-447E-A263-098C5791F23B}" id="{6D530AE5-57DA-435E-B0F3-DD0B932ED726}">
    <text>on peut mettre la formule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I18"/>
  <sheetViews>
    <sheetView tabSelected="1" zoomScaleNormal="100" zoomScaleSheetLayoutView="95" workbookViewId="0">
      <selection activeCell="A12" sqref="A12:D12"/>
    </sheetView>
  </sheetViews>
  <sheetFormatPr baseColWidth="10" defaultColWidth="11.5546875" defaultRowHeight="14.4" x14ac:dyDescent="0.3"/>
  <cols>
    <col min="7" max="7" width="7.44140625" customWidth="1"/>
    <col min="8" max="8" width="13.21875" customWidth="1"/>
  </cols>
  <sheetData>
    <row r="1" spans="1:9" ht="51.75" customHeight="1" x14ac:dyDescent="0.4">
      <c r="A1" s="309" t="s">
        <v>175</v>
      </c>
      <c r="B1" s="309"/>
      <c r="C1" s="309"/>
      <c r="D1" s="309"/>
      <c r="E1" s="309"/>
      <c r="F1" s="309"/>
      <c r="G1" s="309"/>
      <c r="H1" s="309"/>
      <c r="I1" s="309"/>
    </row>
    <row r="2" spans="1:9" x14ac:dyDescent="0.3">
      <c r="A2" s="84"/>
      <c r="B2" s="84"/>
      <c r="C2" s="84"/>
      <c r="D2" s="84"/>
      <c r="E2" s="84"/>
      <c r="F2" s="84"/>
      <c r="G2" s="84"/>
      <c r="H2" s="84"/>
      <c r="I2" s="84"/>
    </row>
    <row r="3" spans="1:9" x14ac:dyDescent="0.3">
      <c r="A3" s="84"/>
      <c r="B3" s="84"/>
      <c r="C3" s="84"/>
      <c r="D3" s="84"/>
      <c r="E3" s="84"/>
      <c r="F3" s="84"/>
      <c r="G3" s="84"/>
      <c r="H3" s="84"/>
      <c r="I3" s="84"/>
    </row>
    <row r="4" spans="1:9" x14ac:dyDescent="0.3">
      <c r="A4" s="84"/>
      <c r="B4" s="84"/>
      <c r="C4" s="84"/>
      <c r="D4" s="84"/>
      <c r="E4" s="84"/>
      <c r="F4" s="84"/>
      <c r="G4" s="84"/>
      <c r="H4" s="84"/>
      <c r="I4" s="84"/>
    </row>
    <row r="5" spans="1:9" ht="18" x14ac:dyDescent="0.35">
      <c r="A5" s="199" t="s">
        <v>176</v>
      </c>
      <c r="B5" s="84"/>
      <c r="C5" s="84"/>
      <c r="D5" s="84"/>
      <c r="E5" s="84"/>
      <c r="F5" s="84"/>
      <c r="G5" s="84"/>
      <c r="H5" s="84"/>
      <c r="I5" s="84"/>
    </row>
    <row r="6" spans="1:9" ht="15" customHeight="1" x14ac:dyDescent="0.3">
      <c r="A6" s="84"/>
      <c r="B6" s="97"/>
      <c r="C6" s="97"/>
      <c r="D6" s="97"/>
      <c r="E6" s="97"/>
      <c r="F6" s="97"/>
      <c r="G6" s="97"/>
      <c r="H6" s="97"/>
      <c r="I6" s="84"/>
    </row>
    <row r="7" spans="1:9" s="202" customFormat="1" ht="15" customHeight="1" x14ac:dyDescent="0.35">
      <c r="A7" s="199"/>
      <c r="B7" s="200"/>
      <c r="C7" s="200"/>
      <c r="D7" s="200"/>
      <c r="E7" s="200"/>
      <c r="F7" s="200"/>
      <c r="G7" s="200"/>
      <c r="H7" s="200"/>
      <c r="I7" s="201"/>
    </row>
    <row r="8" spans="1:9" ht="15" customHeight="1" x14ac:dyDescent="0.3">
      <c r="A8" s="84"/>
      <c r="B8" s="97"/>
      <c r="C8" s="97"/>
      <c r="D8" s="97"/>
      <c r="E8" s="97"/>
      <c r="F8" s="97"/>
      <c r="G8" s="97"/>
      <c r="H8" s="97"/>
      <c r="I8" s="84"/>
    </row>
    <row r="9" spans="1:9" ht="15" customHeight="1" x14ac:dyDescent="0.3">
      <c r="B9" s="97"/>
      <c r="C9" s="97"/>
      <c r="D9" s="97"/>
      <c r="E9" s="97"/>
      <c r="F9" s="97"/>
      <c r="G9" s="97"/>
      <c r="H9" s="97"/>
      <c r="I9" s="84"/>
    </row>
    <row r="10" spans="1:9" ht="42.6" customHeight="1" x14ac:dyDescent="0.3">
      <c r="A10" s="311" t="s">
        <v>278</v>
      </c>
      <c r="B10" s="311"/>
      <c r="C10" s="311"/>
      <c r="D10" s="311"/>
      <c r="E10" s="310" t="s">
        <v>324</v>
      </c>
      <c r="F10" s="310"/>
      <c r="G10" s="310"/>
      <c r="H10" s="310"/>
      <c r="I10" s="310"/>
    </row>
    <row r="11" spans="1:9" ht="69" customHeight="1" x14ac:dyDescent="0.3">
      <c r="A11" s="311" t="s">
        <v>316</v>
      </c>
      <c r="B11" s="311"/>
      <c r="C11" s="311"/>
      <c r="D11" s="311"/>
      <c r="E11" s="310" t="s">
        <v>325</v>
      </c>
      <c r="F11" s="310"/>
      <c r="G11" s="310"/>
      <c r="H11" s="310"/>
      <c r="I11" s="310"/>
    </row>
    <row r="12" spans="1:9" ht="52.05" customHeight="1" x14ac:dyDescent="0.3">
      <c r="A12" s="311" t="s">
        <v>177</v>
      </c>
      <c r="B12" s="311"/>
      <c r="C12" s="311"/>
      <c r="D12" s="311"/>
      <c r="E12" s="310" t="s">
        <v>323</v>
      </c>
      <c r="F12" s="310"/>
      <c r="G12" s="310"/>
      <c r="H12" s="310"/>
      <c r="I12" s="310"/>
    </row>
    <row r="13" spans="1:9" ht="15.6" x14ac:dyDescent="0.3">
      <c r="A13" s="313" t="s">
        <v>178</v>
      </c>
      <c r="B13" s="314"/>
      <c r="C13" s="314"/>
      <c r="D13" s="315"/>
      <c r="E13" s="310" t="s">
        <v>320</v>
      </c>
      <c r="F13" s="310"/>
      <c r="G13" s="310"/>
      <c r="H13" s="310"/>
      <c r="I13" s="310"/>
    </row>
    <row r="14" spans="1:9" ht="15.6" x14ac:dyDescent="0.3">
      <c r="A14" s="313" t="s">
        <v>179</v>
      </c>
      <c r="B14" s="314"/>
      <c r="C14" s="314"/>
      <c r="D14" s="315"/>
      <c r="E14" s="312" t="s">
        <v>321</v>
      </c>
      <c r="F14" s="312"/>
      <c r="G14" s="312"/>
      <c r="H14" s="312"/>
      <c r="I14" s="312"/>
    </row>
    <row r="15" spans="1:9" ht="37.049999999999997" customHeight="1" x14ac:dyDescent="0.3">
      <c r="A15" s="311" t="s">
        <v>279</v>
      </c>
      <c r="B15" s="311"/>
      <c r="C15" s="311"/>
      <c r="D15" s="311"/>
      <c r="E15" s="310" t="s">
        <v>322</v>
      </c>
      <c r="F15" s="310"/>
      <c r="G15" s="310"/>
      <c r="H15" s="310"/>
      <c r="I15" s="310"/>
    </row>
    <row r="16" spans="1:9" x14ac:dyDescent="0.3">
      <c r="A16" s="84"/>
      <c r="B16" s="84"/>
      <c r="C16" s="84"/>
      <c r="D16" s="84"/>
      <c r="E16" s="84"/>
      <c r="F16" s="84"/>
      <c r="G16" s="84"/>
      <c r="H16" s="84"/>
      <c r="I16" s="84"/>
    </row>
    <row r="17" spans="1:9" x14ac:dyDescent="0.3">
      <c r="A17" s="227" t="s">
        <v>319</v>
      </c>
      <c r="B17" s="84"/>
      <c r="C17" s="84"/>
      <c r="D17" s="84"/>
      <c r="E17" s="84"/>
      <c r="F17" s="84"/>
      <c r="G17" s="84"/>
      <c r="H17" s="84"/>
      <c r="I17" s="84"/>
    </row>
    <row r="18" spans="1:9" x14ac:dyDescent="0.3">
      <c r="A18" s="84"/>
      <c r="B18" s="84"/>
      <c r="C18" s="84"/>
      <c r="D18" s="84"/>
      <c r="E18" s="84"/>
      <c r="F18" s="84"/>
      <c r="G18" s="84"/>
      <c r="H18" s="84"/>
      <c r="I18" s="84"/>
    </row>
  </sheetData>
  <mergeCells count="13">
    <mergeCell ref="A1:I1"/>
    <mergeCell ref="E12:I12"/>
    <mergeCell ref="E11:I11"/>
    <mergeCell ref="E15:I15"/>
    <mergeCell ref="A12:D12"/>
    <mergeCell ref="E13:I13"/>
    <mergeCell ref="E14:I14"/>
    <mergeCell ref="E10:I10"/>
    <mergeCell ref="A10:D10"/>
    <mergeCell ref="A11:D11"/>
    <mergeCell ref="A15:D15"/>
    <mergeCell ref="A13:D13"/>
    <mergeCell ref="A14:D14"/>
  </mergeCells>
  <hyperlinks>
    <hyperlink ref="A10:D10" location="Dimensionnement!A1" display="&gt; Feuille hypothèses de dimensionnement " xr:uid="{E03DAC80-70E0-471B-A574-76EA93ED5A33}"/>
    <hyperlink ref="A11:D11" location="'calcul de demande journalière'!A1" display="&gt; Feuille calcul de la demande journalière" xr:uid="{E6A090B1-2A28-4B2B-924C-0BC189BF194A}"/>
    <hyperlink ref="A12:D12" location="Energie!A1" display="&gt; Feuille Energie" xr:uid="{40E34CE3-5688-4439-8834-BAB7644EB064}"/>
    <hyperlink ref="A13:D13" location="CAPEX!A1" display="&gt; Feuille Investissement (CAPEX)" xr:uid="{75F1A4E7-37C1-4C5C-B59C-786DCE85638B}"/>
    <hyperlink ref="A14:D14" location="'Hypothèses détaillées'!A1" display="&gt; Feuille hypothèses détaillées" xr:uid="{05A87C8D-644D-4590-A4AB-051A4C061E3C}"/>
    <hyperlink ref="A15:D15" location="'Tarif '!A1" display="&gt; Feuille tarif " xr:uid="{835C6075-B129-407C-9E93-03BDB2EBC3C4}"/>
  </hyperlink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80"/>
  <sheetViews>
    <sheetView topLeftCell="A34" zoomScale="90" zoomScaleNormal="90" workbookViewId="0">
      <selection activeCell="C21" sqref="C21"/>
    </sheetView>
  </sheetViews>
  <sheetFormatPr baseColWidth="10" defaultColWidth="11.44140625" defaultRowHeight="13.8" x14ac:dyDescent="0.3"/>
  <cols>
    <col min="1" max="1" width="46.21875" style="128" customWidth="1"/>
    <col min="2" max="2" width="7.21875" style="128" customWidth="1"/>
    <col min="3" max="3" width="6.88671875" style="128" bestFit="1" customWidth="1"/>
    <col min="4" max="10" width="4.5546875" style="128" bestFit="1" customWidth="1"/>
    <col min="11" max="13" width="5.5546875" style="128" bestFit="1" customWidth="1"/>
    <col min="14" max="14" width="5.44140625" style="128" customWidth="1"/>
    <col min="15" max="26" width="5.5546875" style="128" bestFit="1" customWidth="1"/>
    <col min="27" max="27" width="11.5546875" style="128" bestFit="1" customWidth="1"/>
    <col min="28" max="16384" width="11.44140625" style="128"/>
  </cols>
  <sheetData>
    <row r="1" spans="1:27" s="102" customFormat="1" ht="18.75" customHeight="1" x14ac:dyDescent="0.25">
      <c r="A1" s="101" t="s">
        <v>199</v>
      </c>
      <c r="B1" s="101"/>
    </row>
    <row r="2" spans="1:27" s="103" customFormat="1" ht="14.4" thickBot="1" x14ac:dyDescent="0.35"/>
    <row r="3" spans="1:27" s="102" customFormat="1" ht="14.4" thickTop="1" x14ac:dyDescent="0.25">
      <c r="A3" s="104" t="s">
        <v>369</v>
      </c>
      <c r="B3" s="203">
        <v>2000</v>
      </c>
      <c r="C3" s="229" t="s">
        <v>326</v>
      </c>
    </row>
    <row r="4" spans="1:27" s="102" customFormat="1" x14ac:dyDescent="0.25">
      <c r="A4" s="105" t="s">
        <v>200</v>
      </c>
      <c r="B4" s="204">
        <v>6</v>
      </c>
      <c r="C4" s="229" t="s">
        <v>327</v>
      </c>
    </row>
    <row r="5" spans="1:27" s="102" customFormat="1" x14ac:dyDescent="0.25">
      <c r="A5" s="105" t="s">
        <v>201</v>
      </c>
      <c r="B5" s="228">
        <f>+ROUND(B3/B4,0)</f>
        <v>333</v>
      </c>
      <c r="C5" s="229" t="s">
        <v>328</v>
      </c>
    </row>
    <row r="6" spans="1:27" s="102" customFormat="1" x14ac:dyDescent="0.25">
      <c r="A6" s="105" t="s">
        <v>202</v>
      </c>
      <c r="B6" s="205">
        <v>2.555E-2</v>
      </c>
    </row>
    <row r="7" spans="1:27" s="102" customFormat="1" x14ac:dyDescent="0.25">
      <c r="A7" s="105" t="s">
        <v>203</v>
      </c>
      <c r="B7" s="205">
        <v>0.01</v>
      </c>
      <c r="D7" s="226" t="s">
        <v>302</v>
      </c>
    </row>
    <row r="8" spans="1:27" s="102" customFormat="1" ht="73.8" customHeight="1" x14ac:dyDescent="0.25">
      <c r="A8" s="266" t="s">
        <v>366</v>
      </c>
      <c r="B8" s="267">
        <v>1</v>
      </c>
      <c r="D8" s="316" t="s">
        <v>365</v>
      </c>
      <c r="E8" s="317"/>
      <c r="F8" s="317"/>
      <c r="G8" s="317"/>
      <c r="H8" s="317"/>
      <c r="I8" s="317"/>
      <c r="J8" s="317"/>
      <c r="K8" s="317"/>
      <c r="L8" s="317"/>
      <c r="M8" s="317"/>
      <c r="N8" s="317"/>
      <c r="O8" s="317"/>
      <c r="P8" s="317"/>
      <c r="Q8" s="317"/>
      <c r="R8" s="317"/>
      <c r="S8" s="317"/>
    </row>
    <row r="9" spans="1:27" s="102" customFormat="1" ht="57.6" customHeight="1" x14ac:dyDescent="0.25">
      <c r="A9" s="105" t="s">
        <v>280</v>
      </c>
      <c r="B9" s="268" t="s">
        <v>368</v>
      </c>
      <c r="C9" s="318" t="s">
        <v>367</v>
      </c>
      <c r="D9" s="319"/>
      <c r="E9" s="319"/>
      <c r="F9" s="319"/>
      <c r="G9" s="319"/>
      <c r="H9" s="319"/>
      <c r="I9" s="319"/>
      <c r="J9" s="319"/>
      <c r="K9" s="319"/>
      <c r="L9" s="319"/>
      <c r="M9" s="319"/>
      <c r="N9" s="319"/>
      <c r="O9" s="319"/>
      <c r="P9" s="319"/>
      <c r="Q9" s="319"/>
      <c r="R9" s="319"/>
      <c r="S9" s="319"/>
      <c r="T9" s="106"/>
      <c r="U9" s="106"/>
      <c r="V9" s="106"/>
      <c r="W9" s="106"/>
      <c r="X9" s="106"/>
      <c r="Y9" s="106"/>
      <c r="Z9" s="106"/>
    </row>
    <row r="10" spans="1:27" s="102" customFormat="1" ht="14.4" thickBot="1" x14ac:dyDescent="0.3">
      <c r="A10" s="107"/>
      <c r="B10" s="2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row>
    <row r="11" spans="1:27" s="102" customFormat="1" ht="14.4" thickTop="1" x14ac:dyDescent="0.25"/>
    <row r="12" spans="1:27" s="102" customFormat="1" ht="14.4" thickBot="1" x14ac:dyDescent="0.3">
      <c r="A12" s="217" t="s">
        <v>288</v>
      </c>
    </row>
    <row r="13" spans="1:27" s="102" customFormat="1" ht="14.4" thickTop="1" x14ac:dyDescent="0.25">
      <c r="A13" s="108" t="s">
        <v>307</v>
      </c>
      <c r="B13" s="234"/>
      <c r="C13" s="109" t="s">
        <v>204</v>
      </c>
      <c r="D13" s="109" t="s">
        <v>205</v>
      </c>
      <c r="E13" s="109" t="s">
        <v>206</v>
      </c>
      <c r="F13" s="109" t="s">
        <v>207</v>
      </c>
      <c r="G13" s="109" t="s">
        <v>208</v>
      </c>
      <c r="H13" s="109" t="s">
        <v>209</v>
      </c>
      <c r="I13" s="109" t="s">
        <v>210</v>
      </c>
      <c r="J13" s="109" t="s">
        <v>211</v>
      </c>
      <c r="K13" s="109" t="s">
        <v>212</v>
      </c>
      <c r="L13" s="109" t="s">
        <v>213</v>
      </c>
      <c r="M13" s="109" t="s">
        <v>214</v>
      </c>
      <c r="N13" s="109" t="s">
        <v>215</v>
      </c>
      <c r="O13" s="109" t="s">
        <v>216</v>
      </c>
      <c r="P13" s="109" t="s">
        <v>217</v>
      </c>
      <c r="Q13" s="109" t="s">
        <v>218</v>
      </c>
      <c r="R13" s="109" t="s">
        <v>219</v>
      </c>
      <c r="S13" s="109" t="s">
        <v>220</v>
      </c>
      <c r="T13" s="109" t="s">
        <v>221</v>
      </c>
      <c r="U13" s="109" t="s">
        <v>222</v>
      </c>
      <c r="V13" s="109" t="s">
        <v>223</v>
      </c>
      <c r="W13" s="109" t="s">
        <v>224</v>
      </c>
      <c r="X13" s="109" t="s">
        <v>225</v>
      </c>
      <c r="Y13" s="109" t="s">
        <v>226</v>
      </c>
      <c r="Z13" s="109" t="s">
        <v>227</v>
      </c>
      <c r="AA13" s="110" t="s">
        <v>228</v>
      </c>
    </row>
    <row r="14" spans="1:27" s="102" customFormat="1" x14ac:dyDescent="0.25">
      <c r="A14" s="105" t="s">
        <v>274</v>
      </c>
      <c r="B14" s="235" t="s">
        <v>345</v>
      </c>
      <c r="C14" s="224">
        <f>+DEMANDE_T1_KWH_JOUR</f>
        <v>4</v>
      </c>
      <c r="D14" s="224">
        <f t="shared" ref="D14:AA14" si="0">+DEMANDE_T1_KWH_JOUR</f>
        <v>0</v>
      </c>
      <c r="E14" s="224">
        <f t="shared" si="0"/>
        <v>0</v>
      </c>
      <c r="F14" s="224">
        <f t="shared" si="0"/>
        <v>0</v>
      </c>
      <c r="G14" s="224">
        <f t="shared" si="0"/>
        <v>0</v>
      </c>
      <c r="H14" s="224">
        <f t="shared" si="0"/>
        <v>0</v>
      </c>
      <c r="I14" s="224">
        <f t="shared" si="0"/>
        <v>0</v>
      </c>
      <c r="J14" s="224">
        <f t="shared" si="0"/>
        <v>0</v>
      </c>
      <c r="K14" s="224">
        <f t="shared" si="0"/>
        <v>0</v>
      </c>
      <c r="L14" s="224">
        <f t="shared" si="0"/>
        <v>0</v>
      </c>
      <c r="M14" s="224">
        <f t="shared" si="0"/>
        <v>0</v>
      </c>
      <c r="N14" s="224">
        <f t="shared" si="0"/>
        <v>0</v>
      </c>
      <c r="O14" s="224">
        <f t="shared" si="0"/>
        <v>0</v>
      </c>
      <c r="P14" s="224">
        <f t="shared" si="0"/>
        <v>0</v>
      </c>
      <c r="Q14" s="224">
        <f t="shared" si="0"/>
        <v>0</v>
      </c>
      <c r="R14" s="224">
        <f t="shared" si="0"/>
        <v>0</v>
      </c>
      <c r="S14" s="224">
        <f t="shared" si="0"/>
        <v>0</v>
      </c>
      <c r="T14" s="224">
        <f t="shared" si="0"/>
        <v>0</v>
      </c>
      <c r="U14" s="224">
        <f t="shared" si="0"/>
        <v>0</v>
      </c>
      <c r="V14" s="224">
        <f t="shared" si="0"/>
        <v>0</v>
      </c>
      <c r="W14" s="224">
        <f t="shared" si="0"/>
        <v>0</v>
      </c>
      <c r="X14" s="224">
        <f t="shared" si="0"/>
        <v>0</v>
      </c>
      <c r="Y14" s="224">
        <f t="shared" si="0"/>
        <v>0</v>
      </c>
      <c r="Z14" s="224">
        <f t="shared" si="0"/>
        <v>0</v>
      </c>
      <c r="AA14" s="224">
        <f t="shared" si="0"/>
        <v>0</v>
      </c>
    </row>
    <row r="15" spans="1:27" s="102" customFormat="1" x14ac:dyDescent="0.25">
      <c r="A15" s="105" t="s">
        <v>229</v>
      </c>
      <c r="B15" s="235" t="s">
        <v>345</v>
      </c>
      <c r="C15" s="224">
        <f t="shared" ref="C15:AA15" si="1">+DEMANDE_T2_KWH_JOUR</f>
        <v>17.5</v>
      </c>
      <c r="D15" s="224">
        <f t="shared" si="1"/>
        <v>0</v>
      </c>
      <c r="E15" s="224">
        <f t="shared" si="1"/>
        <v>0</v>
      </c>
      <c r="F15" s="224">
        <f t="shared" si="1"/>
        <v>0</v>
      </c>
      <c r="G15" s="224">
        <f t="shared" si="1"/>
        <v>0</v>
      </c>
      <c r="H15" s="224">
        <f t="shared" si="1"/>
        <v>0</v>
      </c>
      <c r="I15" s="224">
        <f t="shared" si="1"/>
        <v>0</v>
      </c>
      <c r="J15" s="224">
        <f t="shared" si="1"/>
        <v>0</v>
      </c>
      <c r="K15" s="224">
        <f t="shared" si="1"/>
        <v>0</v>
      </c>
      <c r="L15" s="224">
        <f t="shared" si="1"/>
        <v>0</v>
      </c>
      <c r="M15" s="224">
        <f t="shared" si="1"/>
        <v>0</v>
      </c>
      <c r="N15" s="224">
        <f t="shared" si="1"/>
        <v>0</v>
      </c>
      <c r="O15" s="224">
        <f t="shared" si="1"/>
        <v>0</v>
      </c>
      <c r="P15" s="224">
        <f t="shared" si="1"/>
        <v>0</v>
      </c>
      <c r="Q15" s="224">
        <f t="shared" si="1"/>
        <v>0</v>
      </c>
      <c r="R15" s="224">
        <f t="shared" si="1"/>
        <v>0</v>
      </c>
      <c r="S15" s="224">
        <f t="shared" si="1"/>
        <v>0</v>
      </c>
      <c r="T15" s="224">
        <f t="shared" si="1"/>
        <v>0</v>
      </c>
      <c r="U15" s="224">
        <f t="shared" si="1"/>
        <v>0</v>
      </c>
      <c r="V15" s="224">
        <f t="shared" si="1"/>
        <v>0</v>
      </c>
      <c r="W15" s="224">
        <f t="shared" si="1"/>
        <v>0</v>
      </c>
      <c r="X15" s="224">
        <f t="shared" si="1"/>
        <v>0</v>
      </c>
      <c r="Y15" s="224">
        <f t="shared" si="1"/>
        <v>0</v>
      </c>
      <c r="Z15" s="224">
        <f t="shared" si="1"/>
        <v>0</v>
      </c>
      <c r="AA15" s="224">
        <f t="shared" si="1"/>
        <v>0</v>
      </c>
    </row>
    <row r="16" spans="1:27" s="102" customFormat="1" x14ac:dyDescent="0.25">
      <c r="A16" s="105" t="s">
        <v>230</v>
      </c>
      <c r="B16" s="235" t="s">
        <v>345</v>
      </c>
      <c r="C16" s="224">
        <f t="shared" ref="C16:AA16" si="2">+DEMANDE_T3_KWH_JOUR</f>
        <v>40.949999999999996</v>
      </c>
      <c r="D16" s="224">
        <f t="shared" si="2"/>
        <v>0</v>
      </c>
      <c r="E16" s="224">
        <f t="shared" si="2"/>
        <v>0</v>
      </c>
      <c r="F16" s="224">
        <f t="shared" si="2"/>
        <v>0</v>
      </c>
      <c r="G16" s="224">
        <f t="shared" si="2"/>
        <v>0</v>
      </c>
      <c r="H16" s="224">
        <f t="shared" si="2"/>
        <v>0</v>
      </c>
      <c r="I16" s="224">
        <f t="shared" si="2"/>
        <v>0</v>
      </c>
      <c r="J16" s="224">
        <f t="shared" si="2"/>
        <v>0</v>
      </c>
      <c r="K16" s="224">
        <f t="shared" si="2"/>
        <v>0</v>
      </c>
      <c r="L16" s="224">
        <f t="shared" si="2"/>
        <v>0</v>
      </c>
      <c r="M16" s="224">
        <f t="shared" si="2"/>
        <v>0</v>
      </c>
      <c r="N16" s="224">
        <f t="shared" si="2"/>
        <v>0</v>
      </c>
      <c r="O16" s="224">
        <f t="shared" si="2"/>
        <v>0</v>
      </c>
      <c r="P16" s="224">
        <f t="shared" si="2"/>
        <v>0</v>
      </c>
      <c r="Q16" s="224">
        <f t="shared" si="2"/>
        <v>0</v>
      </c>
      <c r="R16" s="224">
        <f t="shared" si="2"/>
        <v>0</v>
      </c>
      <c r="S16" s="224">
        <f t="shared" si="2"/>
        <v>0</v>
      </c>
      <c r="T16" s="224">
        <f t="shared" si="2"/>
        <v>0</v>
      </c>
      <c r="U16" s="224">
        <f t="shared" si="2"/>
        <v>0</v>
      </c>
      <c r="V16" s="224">
        <f t="shared" si="2"/>
        <v>0</v>
      </c>
      <c r="W16" s="224">
        <f t="shared" si="2"/>
        <v>0</v>
      </c>
      <c r="X16" s="224">
        <f t="shared" si="2"/>
        <v>0</v>
      </c>
      <c r="Y16" s="224">
        <f t="shared" si="2"/>
        <v>0</v>
      </c>
      <c r="Z16" s="224">
        <f t="shared" si="2"/>
        <v>0</v>
      </c>
      <c r="AA16" s="224">
        <f t="shared" si="2"/>
        <v>0</v>
      </c>
    </row>
    <row r="17" spans="1:27" s="102" customFormat="1" x14ac:dyDescent="0.25">
      <c r="A17" s="105" t="s">
        <v>231</v>
      </c>
      <c r="B17" s="235" t="s">
        <v>345</v>
      </c>
      <c r="C17" s="224">
        <f t="shared" ref="C17:AA17" si="3">+DEMANDE_T4_KWH_JOUR</f>
        <v>46.6</v>
      </c>
      <c r="D17" s="224">
        <f t="shared" si="3"/>
        <v>0</v>
      </c>
      <c r="E17" s="224">
        <f t="shared" si="3"/>
        <v>0</v>
      </c>
      <c r="F17" s="224">
        <f t="shared" si="3"/>
        <v>0</v>
      </c>
      <c r="G17" s="224">
        <f t="shared" si="3"/>
        <v>0</v>
      </c>
      <c r="H17" s="224">
        <f t="shared" si="3"/>
        <v>0</v>
      </c>
      <c r="I17" s="224">
        <f t="shared" si="3"/>
        <v>0</v>
      </c>
      <c r="J17" s="224">
        <f t="shared" si="3"/>
        <v>0</v>
      </c>
      <c r="K17" s="224">
        <f t="shared" si="3"/>
        <v>0</v>
      </c>
      <c r="L17" s="224">
        <f t="shared" si="3"/>
        <v>0</v>
      </c>
      <c r="M17" s="224">
        <f t="shared" si="3"/>
        <v>0</v>
      </c>
      <c r="N17" s="224">
        <f t="shared" si="3"/>
        <v>0</v>
      </c>
      <c r="O17" s="224">
        <f t="shared" si="3"/>
        <v>0</v>
      </c>
      <c r="P17" s="224">
        <f t="shared" si="3"/>
        <v>0</v>
      </c>
      <c r="Q17" s="224">
        <f t="shared" si="3"/>
        <v>0</v>
      </c>
      <c r="R17" s="224">
        <f t="shared" si="3"/>
        <v>0</v>
      </c>
      <c r="S17" s="224">
        <f t="shared" si="3"/>
        <v>0</v>
      </c>
      <c r="T17" s="224">
        <f t="shared" si="3"/>
        <v>0</v>
      </c>
      <c r="U17" s="224">
        <f t="shared" si="3"/>
        <v>0</v>
      </c>
      <c r="V17" s="224">
        <f t="shared" si="3"/>
        <v>0</v>
      </c>
      <c r="W17" s="224">
        <f t="shared" si="3"/>
        <v>0</v>
      </c>
      <c r="X17" s="224">
        <f t="shared" si="3"/>
        <v>0</v>
      </c>
      <c r="Y17" s="224">
        <f t="shared" si="3"/>
        <v>0</v>
      </c>
      <c r="Z17" s="224">
        <f t="shared" si="3"/>
        <v>0</v>
      </c>
      <c r="AA17" s="224">
        <f t="shared" si="3"/>
        <v>0</v>
      </c>
    </row>
    <row r="18" spans="1:27" s="102" customFormat="1" x14ac:dyDescent="0.25">
      <c r="A18" s="105" t="s">
        <v>232</v>
      </c>
      <c r="B18" s="235" t="s">
        <v>345</v>
      </c>
      <c r="C18" s="224">
        <f t="shared" ref="C18:AA18" si="4">+DEMANDE_T5_KWH_JOUR</f>
        <v>25</v>
      </c>
      <c r="D18" s="224">
        <f t="shared" si="4"/>
        <v>0</v>
      </c>
      <c r="E18" s="224">
        <f t="shared" si="4"/>
        <v>0</v>
      </c>
      <c r="F18" s="224">
        <f t="shared" si="4"/>
        <v>0</v>
      </c>
      <c r="G18" s="224">
        <f t="shared" si="4"/>
        <v>0</v>
      </c>
      <c r="H18" s="224">
        <f t="shared" si="4"/>
        <v>0</v>
      </c>
      <c r="I18" s="224">
        <f t="shared" si="4"/>
        <v>0</v>
      </c>
      <c r="J18" s="224">
        <f t="shared" si="4"/>
        <v>0</v>
      </c>
      <c r="K18" s="224">
        <f t="shared" si="4"/>
        <v>0</v>
      </c>
      <c r="L18" s="224">
        <f t="shared" si="4"/>
        <v>0</v>
      </c>
      <c r="M18" s="224">
        <f t="shared" si="4"/>
        <v>0</v>
      </c>
      <c r="N18" s="224">
        <f t="shared" si="4"/>
        <v>0</v>
      </c>
      <c r="O18" s="224">
        <f t="shared" si="4"/>
        <v>0</v>
      </c>
      <c r="P18" s="224">
        <f t="shared" si="4"/>
        <v>0</v>
      </c>
      <c r="Q18" s="224">
        <f t="shared" si="4"/>
        <v>0</v>
      </c>
      <c r="R18" s="224">
        <f t="shared" si="4"/>
        <v>0</v>
      </c>
      <c r="S18" s="224">
        <f t="shared" si="4"/>
        <v>0</v>
      </c>
      <c r="T18" s="224">
        <f t="shared" si="4"/>
        <v>0</v>
      </c>
      <c r="U18" s="224">
        <f t="shared" si="4"/>
        <v>0</v>
      </c>
      <c r="V18" s="224">
        <f t="shared" si="4"/>
        <v>0</v>
      </c>
      <c r="W18" s="224">
        <f t="shared" si="4"/>
        <v>0</v>
      </c>
      <c r="X18" s="224">
        <f t="shared" si="4"/>
        <v>0</v>
      </c>
      <c r="Y18" s="224">
        <f t="shared" si="4"/>
        <v>0</v>
      </c>
      <c r="Z18" s="224">
        <f t="shared" si="4"/>
        <v>0</v>
      </c>
      <c r="AA18" s="224">
        <f t="shared" si="4"/>
        <v>0</v>
      </c>
    </row>
    <row r="19" spans="1:27" s="220" customFormat="1" x14ac:dyDescent="0.25">
      <c r="A19" s="219" t="s">
        <v>294</v>
      </c>
      <c r="B19" s="235" t="s">
        <v>345</v>
      </c>
      <c r="C19" s="224">
        <f t="shared" ref="C19:AA19" si="5">+DEMANDE_TOTALE_KWH_JOUR</f>
        <v>134.05000000000001</v>
      </c>
      <c r="D19" s="224">
        <f t="shared" si="5"/>
        <v>0</v>
      </c>
      <c r="E19" s="224">
        <f t="shared" si="5"/>
        <v>0</v>
      </c>
      <c r="F19" s="224">
        <f t="shared" si="5"/>
        <v>0</v>
      </c>
      <c r="G19" s="224">
        <f t="shared" si="5"/>
        <v>0</v>
      </c>
      <c r="H19" s="224">
        <f t="shared" si="5"/>
        <v>0</v>
      </c>
      <c r="I19" s="224">
        <f t="shared" si="5"/>
        <v>0</v>
      </c>
      <c r="J19" s="224">
        <f t="shared" si="5"/>
        <v>0</v>
      </c>
      <c r="K19" s="224">
        <f t="shared" si="5"/>
        <v>0</v>
      </c>
      <c r="L19" s="224">
        <f t="shared" si="5"/>
        <v>0</v>
      </c>
      <c r="M19" s="224">
        <f t="shared" si="5"/>
        <v>0</v>
      </c>
      <c r="N19" s="224">
        <f t="shared" si="5"/>
        <v>0</v>
      </c>
      <c r="O19" s="224">
        <f t="shared" si="5"/>
        <v>0</v>
      </c>
      <c r="P19" s="224">
        <f t="shared" si="5"/>
        <v>0</v>
      </c>
      <c r="Q19" s="224">
        <f t="shared" si="5"/>
        <v>0</v>
      </c>
      <c r="R19" s="224">
        <f t="shared" si="5"/>
        <v>0</v>
      </c>
      <c r="S19" s="224">
        <f t="shared" si="5"/>
        <v>0</v>
      </c>
      <c r="T19" s="224">
        <f t="shared" si="5"/>
        <v>0</v>
      </c>
      <c r="U19" s="224">
        <f t="shared" si="5"/>
        <v>0</v>
      </c>
      <c r="V19" s="224">
        <f t="shared" si="5"/>
        <v>0</v>
      </c>
      <c r="W19" s="224">
        <f t="shared" si="5"/>
        <v>0</v>
      </c>
      <c r="X19" s="224">
        <f t="shared" si="5"/>
        <v>0</v>
      </c>
      <c r="Y19" s="224">
        <f t="shared" si="5"/>
        <v>0</v>
      </c>
      <c r="Z19" s="224">
        <f t="shared" si="5"/>
        <v>0</v>
      </c>
      <c r="AA19" s="224">
        <f t="shared" si="5"/>
        <v>0</v>
      </c>
    </row>
    <row r="20" spans="1:27" s="102" customFormat="1" ht="16.5" customHeight="1" thickBot="1" x14ac:dyDescent="0.3">
      <c r="A20" s="107" t="s">
        <v>233</v>
      </c>
      <c r="B20" s="259"/>
      <c r="C20" s="207">
        <v>0.05</v>
      </c>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8"/>
    </row>
    <row r="21" spans="1:27" s="102" customFormat="1" ht="14.4" thickTop="1" x14ac:dyDescent="0.25">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row>
    <row r="22" spans="1:27" s="102" customFormat="1" ht="18.75" customHeight="1" thickBot="1" x14ac:dyDescent="0.3">
      <c r="A22" s="101" t="s">
        <v>234</v>
      </c>
      <c r="B22" s="101"/>
    </row>
    <row r="23" spans="1:27" s="113" customFormat="1" ht="18" customHeight="1" thickTop="1" x14ac:dyDescent="0.3">
      <c r="A23" s="112" t="s">
        <v>235</v>
      </c>
      <c r="B23" s="209"/>
      <c r="C23" s="221" t="s">
        <v>295</v>
      </c>
    </row>
    <row r="24" spans="1:27" s="113" customFormat="1" ht="32.25" customHeight="1" x14ac:dyDescent="0.3">
      <c r="A24" s="114" t="s">
        <v>281</v>
      </c>
      <c r="B24" s="210"/>
      <c r="C24" s="323" t="s">
        <v>317</v>
      </c>
      <c r="D24" s="324"/>
      <c r="E24" s="324"/>
      <c r="F24" s="324"/>
      <c r="G24" s="324"/>
      <c r="H24" s="324"/>
      <c r="I24" s="324"/>
      <c r="J24" s="324"/>
      <c r="K24" s="324"/>
      <c r="L24" s="324"/>
      <c r="M24" s="324"/>
      <c r="N24" s="324"/>
      <c r="O24" s="324"/>
      <c r="P24" s="324"/>
      <c r="Q24" s="324"/>
      <c r="R24" s="324"/>
      <c r="S24" s="324"/>
      <c r="T24" s="324"/>
      <c r="U24" s="324"/>
      <c r="V24" s="324"/>
      <c r="W24" s="324"/>
      <c r="X24" s="324"/>
      <c r="Y24" s="324"/>
      <c r="Z24" s="324"/>
    </row>
    <row r="25" spans="1:27" s="113" customFormat="1" x14ac:dyDescent="0.3">
      <c r="A25" s="114" t="s">
        <v>236</v>
      </c>
      <c r="B25" s="211"/>
      <c r="C25" s="325" t="s">
        <v>303</v>
      </c>
      <c r="D25" s="324"/>
      <c r="E25" s="324"/>
      <c r="F25" s="324"/>
      <c r="G25" s="324"/>
      <c r="H25" s="324"/>
      <c r="I25" s="324"/>
      <c r="J25" s="324"/>
      <c r="K25" s="324"/>
      <c r="L25" s="324"/>
      <c r="M25" s="324"/>
      <c r="N25" s="324"/>
      <c r="O25" s="324"/>
      <c r="P25" s="324"/>
      <c r="Q25" s="324"/>
      <c r="R25" s="324"/>
      <c r="S25" s="324"/>
      <c r="T25" s="324"/>
      <c r="U25" s="324"/>
      <c r="V25" s="324"/>
      <c r="W25" s="324"/>
      <c r="X25" s="324"/>
      <c r="Y25" s="324"/>
      <c r="Z25" s="324"/>
    </row>
    <row r="26" spans="1:27" s="113" customFormat="1" ht="18.75" customHeight="1" x14ac:dyDescent="0.3">
      <c r="A26" s="114" t="s">
        <v>237</v>
      </c>
      <c r="B26" s="212"/>
      <c r="C26" s="221" t="s">
        <v>297</v>
      </c>
    </row>
    <row r="27" spans="1:27" s="113" customFormat="1" ht="34.5" customHeight="1" x14ac:dyDescent="0.3">
      <c r="A27" s="114" t="s">
        <v>238</v>
      </c>
      <c r="B27" s="212"/>
      <c r="C27" s="230" t="s">
        <v>329</v>
      </c>
    </row>
    <row r="28" spans="1:27" s="113" customFormat="1" ht="20.25" customHeight="1" thickBot="1" x14ac:dyDescent="0.35">
      <c r="A28" s="115" t="s">
        <v>239</v>
      </c>
      <c r="B28" s="213"/>
      <c r="C28" s="230" t="s">
        <v>330</v>
      </c>
    </row>
    <row r="29" spans="1:27" s="102" customFormat="1" ht="14.4" thickTop="1" x14ac:dyDescent="0.25"/>
    <row r="30" spans="1:27" s="102" customFormat="1" ht="55.5" customHeight="1" thickBot="1" x14ac:dyDescent="0.3">
      <c r="A30" s="116" t="s">
        <v>240</v>
      </c>
      <c r="B30" s="117"/>
      <c r="C30" s="113"/>
      <c r="D30" s="113"/>
      <c r="E30" s="113"/>
      <c r="F30" s="113"/>
    </row>
    <row r="31" spans="1:27" s="102" customFormat="1" ht="14.4" thickTop="1" x14ac:dyDescent="0.25">
      <c r="A31" s="118" t="s">
        <v>241</v>
      </c>
      <c r="B31" s="119"/>
    </row>
    <row r="32" spans="1:27" s="102" customFormat="1" ht="17.25" customHeight="1" x14ac:dyDescent="0.25">
      <c r="A32" s="120" t="s">
        <v>242</v>
      </c>
      <c r="B32" s="214"/>
      <c r="C32" s="226" t="s">
        <v>363</v>
      </c>
    </row>
    <row r="33" spans="1:26" s="102" customFormat="1" ht="16.2" x14ac:dyDescent="0.25">
      <c r="A33" s="120" t="s">
        <v>243</v>
      </c>
      <c r="B33" s="215"/>
      <c r="C33" s="226" t="s">
        <v>364</v>
      </c>
    </row>
    <row r="34" spans="1:26" s="102" customFormat="1" ht="14.4" thickBot="1" x14ac:dyDescent="0.3">
      <c r="A34" s="121" t="s">
        <v>244</v>
      </c>
      <c r="B34" s="216"/>
    </row>
    <row r="35" spans="1:26" s="102" customFormat="1" ht="15" thickTop="1" thickBot="1" x14ac:dyDescent="0.3">
      <c r="A35" s="122"/>
      <c r="B35" s="123"/>
    </row>
    <row r="36" spans="1:26" s="102" customFormat="1" ht="28.05" customHeight="1" thickTop="1" x14ac:dyDescent="0.25">
      <c r="A36" s="118" t="s">
        <v>245</v>
      </c>
      <c r="B36" s="119"/>
      <c r="C36" s="326" t="s">
        <v>331</v>
      </c>
      <c r="D36" s="327"/>
      <c r="E36" s="327"/>
      <c r="F36" s="327"/>
      <c r="G36" s="327"/>
      <c r="H36" s="327"/>
      <c r="I36" s="327"/>
      <c r="J36" s="327"/>
      <c r="K36" s="327"/>
      <c r="L36" s="327"/>
      <c r="M36" s="327"/>
      <c r="N36" s="327"/>
      <c r="O36" s="327"/>
      <c r="P36" s="327"/>
      <c r="Q36" s="327"/>
      <c r="R36" s="327"/>
      <c r="S36" s="327"/>
      <c r="T36" s="327"/>
      <c r="U36" s="327"/>
      <c r="V36" s="327"/>
      <c r="W36" s="327"/>
      <c r="X36" s="327"/>
      <c r="Y36" s="327"/>
      <c r="Z36" s="327"/>
    </row>
    <row r="37" spans="1:26" s="102" customFormat="1" ht="14.55" customHeight="1" thickBot="1" x14ac:dyDescent="0.3">
      <c r="A37" s="124" t="s">
        <v>246</v>
      </c>
      <c r="B37" s="215"/>
      <c r="C37" s="326"/>
      <c r="D37" s="327"/>
      <c r="E37" s="327"/>
      <c r="F37" s="327"/>
      <c r="G37" s="327"/>
      <c r="H37" s="327"/>
      <c r="I37" s="327"/>
      <c r="J37" s="327"/>
      <c r="K37" s="327"/>
      <c r="L37" s="327"/>
      <c r="M37" s="327"/>
      <c r="N37" s="327"/>
      <c r="O37" s="327"/>
      <c r="P37" s="327"/>
      <c r="Q37" s="327"/>
      <c r="R37" s="327"/>
      <c r="S37" s="327"/>
      <c r="T37" s="327"/>
      <c r="U37" s="327"/>
      <c r="V37" s="327"/>
      <c r="W37" s="327"/>
      <c r="X37" s="327"/>
      <c r="Y37" s="327"/>
      <c r="Z37" s="327"/>
    </row>
    <row r="38" spans="1:26" s="102" customFormat="1" ht="15" thickTop="1" thickBot="1" x14ac:dyDescent="0.3">
      <c r="A38" s="122"/>
      <c r="B38" s="123"/>
    </row>
    <row r="39" spans="1:26" s="102" customFormat="1" ht="14.4" thickTop="1" x14ac:dyDescent="0.25">
      <c r="A39" s="118" t="s">
        <v>247</v>
      </c>
      <c r="B39" s="125"/>
      <c r="C39" s="320" t="s">
        <v>296</v>
      </c>
      <c r="D39" s="320"/>
      <c r="E39" s="320"/>
      <c r="F39" s="320"/>
      <c r="G39" s="320"/>
      <c r="H39" s="320"/>
      <c r="I39" s="320"/>
      <c r="J39" s="320"/>
      <c r="K39" s="320"/>
      <c r="L39" s="320"/>
      <c r="M39" s="320"/>
      <c r="N39" s="320"/>
    </row>
    <row r="40" spans="1:26" s="102" customFormat="1" ht="17.25" customHeight="1" x14ac:dyDescent="0.25">
      <c r="A40" s="120" t="s">
        <v>248</v>
      </c>
      <c r="B40" s="215"/>
      <c r="C40" s="320"/>
      <c r="D40" s="320"/>
      <c r="E40" s="320"/>
      <c r="F40" s="320"/>
      <c r="G40" s="320"/>
      <c r="H40" s="320"/>
      <c r="I40" s="320"/>
      <c r="J40" s="320"/>
      <c r="K40" s="320"/>
      <c r="L40" s="320"/>
      <c r="M40" s="320"/>
      <c r="N40" s="320"/>
    </row>
    <row r="41" spans="1:26" s="102" customFormat="1" ht="17.25" customHeight="1" x14ac:dyDescent="0.25">
      <c r="A41" s="120" t="s">
        <v>249</v>
      </c>
      <c r="B41" s="215"/>
      <c r="C41" s="320"/>
      <c r="D41" s="320"/>
      <c r="E41" s="320"/>
      <c r="F41" s="320"/>
      <c r="G41" s="320"/>
      <c r="H41" s="320"/>
      <c r="I41" s="320"/>
      <c r="J41" s="320"/>
      <c r="K41" s="320"/>
      <c r="L41" s="320"/>
      <c r="M41" s="320"/>
      <c r="N41" s="320"/>
    </row>
    <row r="42" spans="1:26" s="102" customFormat="1" ht="16.8" thickBot="1" x14ac:dyDescent="0.3">
      <c r="A42" s="121" t="s">
        <v>250</v>
      </c>
      <c r="B42" s="215"/>
      <c r="C42" s="320"/>
      <c r="D42" s="320"/>
      <c r="E42" s="320"/>
      <c r="F42" s="320"/>
      <c r="G42" s="320"/>
      <c r="H42" s="320"/>
      <c r="I42" s="320"/>
      <c r="J42" s="320"/>
      <c r="K42" s="320"/>
      <c r="L42" s="320"/>
      <c r="M42" s="320"/>
      <c r="N42" s="320"/>
    </row>
    <row r="43" spans="1:26" s="102" customFormat="1" ht="15" thickTop="1" thickBot="1" x14ac:dyDescent="0.3">
      <c r="A43" s="122"/>
      <c r="B43" s="123"/>
      <c r="C43" s="320"/>
      <c r="D43" s="320"/>
      <c r="E43" s="320"/>
      <c r="F43" s="320"/>
      <c r="G43" s="320"/>
      <c r="H43" s="320"/>
      <c r="I43" s="320"/>
      <c r="J43" s="320"/>
      <c r="K43" s="320"/>
      <c r="L43" s="320"/>
      <c r="M43" s="320"/>
      <c r="N43" s="320"/>
    </row>
    <row r="44" spans="1:26" s="102" customFormat="1" ht="14.4" thickTop="1" x14ac:dyDescent="0.25">
      <c r="A44" s="118" t="s">
        <v>251</v>
      </c>
      <c r="B44" s="127"/>
      <c r="C44" s="320"/>
      <c r="D44" s="320"/>
      <c r="E44" s="320"/>
      <c r="F44" s="320"/>
      <c r="G44" s="320"/>
      <c r="H44" s="320"/>
      <c r="I44" s="320"/>
      <c r="J44" s="320"/>
      <c r="K44" s="320"/>
      <c r="L44" s="320"/>
      <c r="M44" s="320"/>
      <c r="N44" s="320"/>
    </row>
    <row r="45" spans="1:26" s="102" customFormat="1" x14ac:dyDescent="0.25">
      <c r="A45" s="120" t="s">
        <v>285</v>
      </c>
      <c r="B45" s="215"/>
      <c r="C45" s="320"/>
      <c r="D45" s="320"/>
      <c r="E45" s="320"/>
      <c r="F45" s="320"/>
      <c r="G45" s="320"/>
      <c r="H45" s="320"/>
      <c r="I45" s="320"/>
      <c r="J45" s="320"/>
      <c r="K45" s="320"/>
      <c r="L45" s="320"/>
      <c r="M45" s="320"/>
      <c r="N45" s="320"/>
    </row>
    <row r="46" spans="1:26" s="102" customFormat="1" ht="14.4" thickBot="1" x14ac:dyDescent="0.3">
      <c r="A46" s="121" t="s">
        <v>252</v>
      </c>
      <c r="B46" s="215"/>
      <c r="C46" s="320"/>
      <c r="D46" s="320"/>
      <c r="E46" s="320"/>
      <c r="F46" s="320"/>
      <c r="G46" s="320"/>
      <c r="H46" s="320"/>
      <c r="I46" s="320"/>
      <c r="J46" s="320"/>
      <c r="K46" s="320"/>
      <c r="L46" s="320"/>
      <c r="M46" s="320"/>
      <c r="N46" s="320"/>
    </row>
    <row r="47" spans="1:26" s="102" customFormat="1" ht="15" thickTop="1" thickBot="1" x14ac:dyDescent="0.3">
      <c r="A47" s="122"/>
      <c r="B47" s="123"/>
    </row>
    <row r="48" spans="1:26" s="102" customFormat="1" ht="14.4" thickTop="1" x14ac:dyDescent="0.25">
      <c r="A48" s="118" t="s">
        <v>253</v>
      </c>
      <c r="B48" s="125"/>
    </row>
    <row r="49" spans="1:24" s="102" customFormat="1" ht="13.95" customHeight="1" x14ac:dyDescent="0.25">
      <c r="A49" s="120" t="s">
        <v>254</v>
      </c>
      <c r="B49" s="215"/>
      <c r="C49" s="231"/>
      <c r="D49" s="232"/>
      <c r="E49" s="232"/>
      <c r="F49" s="232"/>
      <c r="G49" s="232"/>
      <c r="H49" s="232"/>
      <c r="I49" s="232"/>
      <c r="J49" s="232"/>
      <c r="K49" s="232"/>
      <c r="L49" s="232"/>
      <c r="M49" s="232"/>
      <c r="N49" s="232"/>
    </row>
    <row r="50" spans="1:24" s="102" customFormat="1" x14ac:dyDescent="0.25">
      <c r="A50" s="120" t="s">
        <v>255</v>
      </c>
      <c r="B50" s="215"/>
      <c r="C50" s="231"/>
      <c r="D50" s="232"/>
      <c r="E50" s="232"/>
      <c r="F50" s="232"/>
      <c r="G50" s="232"/>
      <c r="H50" s="232"/>
      <c r="I50" s="232"/>
      <c r="J50" s="232"/>
      <c r="K50" s="232"/>
      <c r="L50" s="232"/>
      <c r="M50" s="232"/>
      <c r="N50" s="232"/>
    </row>
    <row r="51" spans="1:24" s="102" customFormat="1" ht="28.95" customHeight="1" x14ac:dyDescent="0.25">
      <c r="A51" s="120" t="s">
        <v>256</v>
      </c>
      <c r="B51" s="215"/>
      <c r="C51" s="328" t="s">
        <v>332</v>
      </c>
      <c r="D51" s="329"/>
      <c r="E51" s="329"/>
      <c r="F51" s="329"/>
      <c r="G51" s="329"/>
      <c r="H51" s="329"/>
      <c r="I51" s="329"/>
      <c r="J51" s="329"/>
      <c r="K51" s="329"/>
      <c r="L51" s="329"/>
      <c r="M51" s="329"/>
      <c r="N51" s="329"/>
      <c r="O51" s="329"/>
      <c r="P51" s="329"/>
      <c r="Q51" s="329"/>
      <c r="R51" s="329"/>
      <c r="S51" s="329"/>
      <c r="T51" s="329"/>
      <c r="U51" s="329"/>
      <c r="V51" s="329"/>
      <c r="W51" s="329"/>
      <c r="X51" s="329"/>
    </row>
    <row r="52" spans="1:24" s="102" customFormat="1" x14ac:dyDescent="0.25">
      <c r="A52" s="120" t="s">
        <v>352</v>
      </c>
      <c r="B52" s="215"/>
      <c r="C52" s="231"/>
      <c r="D52" s="232"/>
      <c r="E52" s="232"/>
      <c r="F52" s="232"/>
      <c r="G52" s="232"/>
      <c r="H52" s="232"/>
      <c r="I52" s="232"/>
      <c r="J52" s="232"/>
      <c r="K52" s="232"/>
      <c r="L52" s="232"/>
      <c r="M52" s="232"/>
      <c r="N52" s="232"/>
    </row>
    <row r="53" spans="1:24" s="102" customFormat="1" x14ac:dyDescent="0.25">
      <c r="A53" s="120" t="s">
        <v>284</v>
      </c>
      <c r="B53" s="215"/>
      <c r="C53" s="229" t="s">
        <v>333</v>
      </c>
      <c r="D53" s="232"/>
      <c r="E53" s="232"/>
      <c r="F53" s="232"/>
      <c r="G53" s="232"/>
      <c r="H53" s="232"/>
      <c r="I53" s="232"/>
      <c r="J53" s="232"/>
      <c r="K53" s="232"/>
      <c r="L53" s="232"/>
      <c r="M53" s="232"/>
      <c r="N53" s="232"/>
    </row>
    <row r="54" spans="1:24" s="102" customFormat="1" x14ac:dyDescent="0.25">
      <c r="A54" s="120" t="s">
        <v>257</v>
      </c>
      <c r="B54" s="215"/>
      <c r="C54" s="229" t="s">
        <v>353</v>
      </c>
      <c r="D54" s="232"/>
      <c r="E54" s="232"/>
      <c r="F54" s="232"/>
      <c r="G54" s="232"/>
      <c r="H54" s="232"/>
      <c r="I54" s="232"/>
      <c r="J54" s="232"/>
      <c r="K54" s="232"/>
      <c r="L54" s="232"/>
      <c r="M54" s="232"/>
      <c r="N54" s="232"/>
    </row>
    <row r="55" spans="1:24" s="102" customFormat="1" ht="14.4" thickBot="1" x14ac:dyDescent="0.3">
      <c r="A55" s="121" t="s">
        <v>258</v>
      </c>
      <c r="B55" s="215"/>
      <c r="C55" s="231"/>
      <c r="D55" s="232"/>
      <c r="E55" s="232"/>
      <c r="F55" s="232"/>
      <c r="G55" s="232"/>
      <c r="H55" s="232"/>
      <c r="I55" s="232"/>
      <c r="J55" s="232"/>
      <c r="K55" s="232"/>
      <c r="L55" s="232"/>
      <c r="M55" s="232"/>
      <c r="N55" s="232"/>
    </row>
    <row r="56" spans="1:24" s="102" customFormat="1" ht="15" thickTop="1" thickBot="1" x14ac:dyDescent="0.3"/>
    <row r="57" spans="1:24" s="102" customFormat="1" ht="14.4" thickTop="1" x14ac:dyDescent="0.25">
      <c r="A57" s="118" t="s">
        <v>259</v>
      </c>
      <c r="B57" s="125"/>
    </row>
    <row r="58" spans="1:24" s="102" customFormat="1" ht="21" customHeight="1" thickBot="1" x14ac:dyDescent="0.3">
      <c r="A58" s="121" t="s">
        <v>260</v>
      </c>
      <c r="B58" s="215"/>
    </row>
    <row r="59" spans="1:24" s="102" customFormat="1" ht="15" thickTop="1" thickBot="1" x14ac:dyDescent="0.3"/>
    <row r="60" spans="1:24" s="102" customFormat="1" ht="14.4" thickTop="1" x14ac:dyDescent="0.25">
      <c r="A60" s="118" t="s">
        <v>261</v>
      </c>
      <c r="B60" s="125"/>
    </row>
    <row r="61" spans="1:24" s="102" customFormat="1" ht="21" customHeight="1" x14ac:dyDescent="0.25">
      <c r="A61" s="120" t="s">
        <v>262</v>
      </c>
      <c r="B61" s="215"/>
      <c r="C61" s="321" t="s">
        <v>298</v>
      </c>
      <c r="D61" s="322"/>
      <c r="E61" s="322"/>
      <c r="F61" s="322"/>
      <c r="G61" s="322"/>
      <c r="H61" s="322"/>
      <c r="I61" s="322"/>
      <c r="J61" s="322"/>
      <c r="K61" s="322"/>
      <c r="L61" s="322"/>
      <c r="M61" s="322"/>
      <c r="N61" s="322"/>
    </row>
    <row r="62" spans="1:24" s="102" customFormat="1" ht="21" customHeight="1" thickBot="1" x14ac:dyDescent="0.3">
      <c r="A62" s="121" t="s">
        <v>263</v>
      </c>
      <c r="B62" s="215"/>
      <c r="C62" s="321"/>
      <c r="D62" s="322"/>
      <c r="E62" s="322"/>
      <c r="F62" s="322"/>
      <c r="G62" s="322"/>
      <c r="H62" s="322"/>
      <c r="I62" s="322"/>
      <c r="J62" s="322"/>
      <c r="K62" s="322"/>
      <c r="L62" s="322"/>
      <c r="M62" s="322"/>
      <c r="N62" s="322"/>
    </row>
    <row r="63" spans="1:24" s="102" customFormat="1" ht="21" customHeight="1" thickTop="1" x14ac:dyDescent="0.3">
      <c r="A63" s="126"/>
      <c r="B63" s="126"/>
      <c r="C63" s="128"/>
      <c r="D63" s="128"/>
      <c r="E63" s="128"/>
      <c r="F63" s="128"/>
    </row>
    <row r="64" spans="1:24" s="102" customFormat="1" ht="18.75" customHeight="1" thickBot="1" x14ac:dyDescent="0.35">
      <c r="A64" s="116" t="s">
        <v>264</v>
      </c>
      <c r="C64" s="128"/>
      <c r="D64" s="128"/>
      <c r="E64" s="128"/>
      <c r="F64" s="128"/>
    </row>
    <row r="65" spans="1:6" s="102" customFormat="1" ht="15" thickTop="1" x14ac:dyDescent="0.3">
      <c r="A65" s="129" t="s">
        <v>265</v>
      </c>
      <c r="B65" s="130" t="s">
        <v>266</v>
      </c>
      <c r="C65" s="131" t="s">
        <v>252</v>
      </c>
      <c r="D65" s="128"/>
      <c r="E65" s="128"/>
      <c r="F65" s="128"/>
    </row>
    <row r="66" spans="1:6" s="102" customFormat="1" ht="14.4" x14ac:dyDescent="0.3">
      <c r="A66" s="105" t="s">
        <v>267</v>
      </c>
      <c r="B66" s="132" t="s">
        <v>268</v>
      </c>
      <c r="C66" s="215"/>
      <c r="D66" s="128"/>
      <c r="E66" s="222" t="s">
        <v>299</v>
      </c>
      <c r="F66" s="128"/>
    </row>
    <row r="67" spans="1:6" s="102" customFormat="1" ht="14.4" x14ac:dyDescent="0.3">
      <c r="A67" s="105" t="s">
        <v>269</v>
      </c>
      <c r="B67" s="132" t="s">
        <v>268</v>
      </c>
      <c r="C67" s="215"/>
      <c r="D67" s="128"/>
      <c r="E67" s="128"/>
      <c r="F67" s="128"/>
    </row>
    <row r="68" spans="1:6" s="102" customFormat="1" ht="14.4" x14ac:dyDescent="0.3">
      <c r="A68" s="105" t="s">
        <v>282</v>
      </c>
      <c r="B68" s="132" t="s">
        <v>268</v>
      </c>
      <c r="C68" s="215"/>
      <c r="D68" s="128"/>
      <c r="E68" s="223" t="s">
        <v>300</v>
      </c>
      <c r="F68" s="128"/>
    </row>
    <row r="69" spans="1:6" s="102" customFormat="1" ht="14.4" x14ac:dyDescent="0.3">
      <c r="A69" s="105" t="s">
        <v>283</v>
      </c>
      <c r="B69" s="132" t="s">
        <v>268</v>
      </c>
      <c r="C69" s="215"/>
      <c r="D69" s="128"/>
      <c r="E69" s="128"/>
      <c r="F69" s="128"/>
    </row>
    <row r="70" spans="1:6" s="102" customFormat="1" ht="14.4" x14ac:dyDescent="0.3">
      <c r="A70" s="105" t="s">
        <v>283</v>
      </c>
      <c r="B70" s="132" t="s">
        <v>268</v>
      </c>
      <c r="C70" s="215"/>
      <c r="D70" s="128"/>
      <c r="E70" s="128"/>
      <c r="F70" s="128"/>
    </row>
    <row r="71" spans="1:6" s="102" customFormat="1" ht="14.4" x14ac:dyDescent="0.3">
      <c r="A71" s="120" t="s">
        <v>270</v>
      </c>
      <c r="B71" s="132" t="s">
        <v>268</v>
      </c>
      <c r="C71" s="215"/>
      <c r="D71" s="128"/>
      <c r="E71" s="128"/>
      <c r="F71" s="128"/>
    </row>
    <row r="72" spans="1:6" s="102" customFormat="1" ht="14.4" x14ac:dyDescent="0.3">
      <c r="A72" s="120" t="s">
        <v>270</v>
      </c>
      <c r="B72" s="132" t="s">
        <v>266</v>
      </c>
      <c r="C72" s="215"/>
      <c r="D72" s="128"/>
      <c r="E72" s="223" t="s">
        <v>301</v>
      </c>
      <c r="F72" s="128"/>
    </row>
    <row r="73" spans="1:6" s="102" customFormat="1" ht="15" thickBot="1" x14ac:dyDescent="0.35">
      <c r="A73" s="121" t="s">
        <v>270</v>
      </c>
      <c r="B73" s="133" t="s">
        <v>266</v>
      </c>
      <c r="C73" s="215"/>
      <c r="D73" s="128"/>
      <c r="E73" s="128"/>
      <c r="F73" s="128"/>
    </row>
    <row r="74" spans="1:6" s="102" customFormat="1" ht="15" thickTop="1" x14ac:dyDescent="0.3">
      <c r="C74" s="128"/>
      <c r="D74" s="128"/>
      <c r="E74" s="128"/>
      <c r="F74" s="128"/>
    </row>
    <row r="75" spans="1:6" s="102" customFormat="1" ht="15" thickBot="1" x14ac:dyDescent="0.35">
      <c r="C75" s="128"/>
      <c r="D75" s="128"/>
      <c r="E75" s="128"/>
      <c r="F75" s="128"/>
    </row>
    <row r="76" spans="1:6" s="102" customFormat="1" ht="15.6" thickTop="1" thickBot="1" x14ac:dyDescent="0.35">
      <c r="A76" s="134" t="s">
        <v>271</v>
      </c>
      <c r="C76" s="128"/>
      <c r="D76" s="128"/>
      <c r="E76" s="128"/>
      <c r="F76" s="128"/>
    </row>
    <row r="77" spans="1:6" s="102" customFormat="1" ht="15.6" thickTop="1" thickBot="1" x14ac:dyDescent="0.35">
      <c r="A77" s="135" t="s">
        <v>272</v>
      </c>
      <c r="B77" s="233" t="s">
        <v>334</v>
      </c>
      <c r="C77" s="128"/>
      <c r="D77" s="128"/>
      <c r="E77" s="128"/>
      <c r="F77" s="128"/>
    </row>
    <row r="78" spans="1:6" s="102" customFormat="1" ht="15.6" thickTop="1" thickBot="1" x14ac:dyDescent="0.35">
      <c r="A78" s="135" t="s">
        <v>273</v>
      </c>
      <c r="B78" s="233" t="s">
        <v>335</v>
      </c>
      <c r="C78" s="128"/>
      <c r="D78" s="128"/>
      <c r="E78" s="128"/>
      <c r="F78" s="128"/>
    </row>
    <row r="79" spans="1:6" s="102" customFormat="1" ht="15" thickTop="1" x14ac:dyDescent="0.3">
      <c r="C79" s="128"/>
      <c r="D79" s="128"/>
      <c r="E79" s="128"/>
      <c r="F79" s="128"/>
    </row>
    <row r="80" spans="1:6" s="102" customFormat="1" ht="14.4" x14ac:dyDescent="0.3">
      <c r="C80" s="128"/>
      <c r="D80" s="128"/>
      <c r="E80" s="128"/>
      <c r="F80" s="128"/>
    </row>
  </sheetData>
  <mergeCells count="8">
    <mergeCell ref="D8:S8"/>
    <mergeCell ref="C9:S9"/>
    <mergeCell ref="C39:N46"/>
    <mergeCell ref="C61:N62"/>
    <mergeCell ref="C24:Z24"/>
    <mergeCell ref="C25:Z25"/>
    <mergeCell ref="C36:Z37"/>
    <mergeCell ref="C51:X51"/>
  </mergeCells>
  <printOptions horizontalCentered="1"/>
  <pageMargins left="3.937007874015748E-2" right="3.937007874015748E-2" top="3.937007874015748E-2" bottom="3.937007874015748E-2" header="3.937007874015748E-2" footer="3.937007874015748E-2"/>
  <pageSetup scale="7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CF2AE-1B35-483D-A48F-8271A0AE5843}">
  <sheetPr>
    <tabColor rgb="FF00B0F0"/>
  </sheetPr>
  <dimension ref="A1:AA28"/>
  <sheetViews>
    <sheetView workbookViewId="0">
      <selection activeCell="C13" sqref="C13"/>
    </sheetView>
  </sheetViews>
  <sheetFormatPr baseColWidth="10" defaultColWidth="11.5546875" defaultRowHeight="14.4" x14ac:dyDescent="0.3"/>
  <cols>
    <col min="1" max="1" width="45" style="238" customWidth="1"/>
    <col min="2" max="2" width="13.33203125" style="238" bestFit="1" customWidth="1"/>
    <col min="3" max="27" width="6.33203125" style="238" customWidth="1"/>
    <col min="28" max="16384" width="11.5546875" style="238"/>
  </cols>
  <sheetData>
    <row r="1" spans="1:27" ht="15" thickBot="1" x14ac:dyDescent="0.35">
      <c r="A1" s="238" t="s">
        <v>306</v>
      </c>
    </row>
    <row r="2" spans="1:27" ht="15" thickTop="1" x14ac:dyDescent="0.3">
      <c r="A2" s="239" t="s">
        <v>304</v>
      </c>
      <c r="B2" s="240"/>
      <c r="C2" s="241" t="s">
        <v>204</v>
      </c>
      <c r="D2" s="241" t="s">
        <v>205</v>
      </c>
      <c r="E2" s="241" t="s">
        <v>206</v>
      </c>
      <c r="F2" s="241" t="s">
        <v>207</v>
      </c>
      <c r="G2" s="241" t="s">
        <v>208</v>
      </c>
      <c r="H2" s="241" t="s">
        <v>209</v>
      </c>
      <c r="I2" s="241" t="s">
        <v>210</v>
      </c>
      <c r="J2" s="241" t="s">
        <v>211</v>
      </c>
      <c r="K2" s="241" t="s">
        <v>212</v>
      </c>
      <c r="L2" s="241" t="s">
        <v>213</v>
      </c>
      <c r="M2" s="241" t="s">
        <v>214</v>
      </c>
      <c r="N2" s="241" t="s">
        <v>215</v>
      </c>
      <c r="O2" s="241" t="s">
        <v>216</v>
      </c>
      <c r="P2" s="241" t="s">
        <v>217</v>
      </c>
      <c r="Q2" s="241" t="s">
        <v>218</v>
      </c>
      <c r="R2" s="241" t="s">
        <v>219</v>
      </c>
      <c r="S2" s="241" t="s">
        <v>220</v>
      </c>
      <c r="T2" s="241" t="s">
        <v>221</v>
      </c>
      <c r="U2" s="241" t="s">
        <v>222</v>
      </c>
      <c r="V2" s="241" t="s">
        <v>223</v>
      </c>
      <c r="W2" s="241" t="s">
        <v>224</v>
      </c>
      <c r="X2" s="241" t="s">
        <v>225</v>
      </c>
      <c r="Y2" s="241" t="s">
        <v>226</v>
      </c>
      <c r="Z2" s="241" t="s">
        <v>227</v>
      </c>
    </row>
    <row r="3" spans="1:27" x14ac:dyDescent="0.3">
      <c r="A3" s="254" t="s">
        <v>289</v>
      </c>
      <c r="B3" s="254" t="s">
        <v>343</v>
      </c>
      <c r="C3" s="265">
        <v>20</v>
      </c>
      <c r="D3" s="265"/>
      <c r="E3" s="265"/>
      <c r="F3" s="265"/>
      <c r="G3" s="265"/>
      <c r="H3" s="265"/>
      <c r="I3" s="265"/>
      <c r="J3" s="265"/>
      <c r="K3" s="265"/>
      <c r="L3" s="265"/>
      <c r="M3" s="265"/>
      <c r="N3" s="265"/>
      <c r="O3" s="265"/>
      <c r="P3" s="265"/>
      <c r="Q3" s="265"/>
      <c r="R3" s="265"/>
      <c r="S3" s="265"/>
      <c r="T3" s="265"/>
      <c r="U3" s="265"/>
      <c r="V3" s="265"/>
      <c r="W3" s="265"/>
      <c r="X3" s="265"/>
      <c r="Y3" s="265"/>
      <c r="Z3" s="265"/>
      <c r="AA3" s="255"/>
    </row>
    <row r="4" spans="1:27" x14ac:dyDescent="0.3">
      <c r="A4" s="254" t="s">
        <v>290</v>
      </c>
      <c r="B4" s="254" t="s">
        <v>343</v>
      </c>
      <c r="C4" s="265">
        <v>35</v>
      </c>
      <c r="D4" s="265"/>
      <c r="E4" s="265"/>
      <c r="F4" s="265"/>
      <c r="G4" s="265"/>
      <c r="H4" s="265"/>
      <c r="I4" s="265"/>
      <c r="J4" s="265"/>
      <c r="K4" s="265"/>
      <c r="L4" s="265"/>
      <c r="M4" s="265"/>
      <c r="N4" s="265"/>
      <c r="O4" s="265"/>
      <c r="P4" s="265"/>
      <c r="Q4" s="265"/>
      <c r="R4" s="265"/>
      <c r="S4" s="265"/>
      <c r="T4" s="265"/>
      <c r="U4" s="265"/>
      <c r="V4" s="265"/>
      <c r="W4" s="265"/>
      <c r="X4" s="265"/>
      <c r="Y4" s="265"/>
      <c r="Z4" s="265"/>
      <c r="AA4" s="255"/>
    </row>
    <row r="5" spans="1:27" x14ac:dyDescent="0.3">
      <c r="A5" s="254" t="s">
        <v>291</v>
      </c>
      <c r="B5" s="254" t="s">
        <v>343</v>
      </c>
      <c r="C5" s="265">
        <v>35</v>
      </c>
      <c r="D5" s="265"/>
      <c r="E5" s="265"/>
      <c r="F5" s="265"/>
      <c r="G5" s="265"/>
      <c r="H5" s="265"/>
      <c r="I5" s="265"/>
      <c r="J5" s="265"/>
      <c r="K5" s="265"/>
      <c r="L5" s="265"/>
      <c r="M5" s="265"/>
      <c r="N5" s="265"/>
      <c r="O5" s="265"/>
      <c r="P5" s="265"/>
      <c r="Q5" s="265"/>
      <c r="R5" s="265"/>
      <c r="S5" s="265"/>
      <c r="T5" s="265"/>
      <c r="U5" s="265"/>
      <c r="V5" s="265"/>
      <c r="W5" s="265"/>
      <c r="X5" s="265"/>
      <c r="Y5" s="265"/>
      <c r="Z5" s="265"/>
      <c r="AA5" s="255"/>
    </row>
    <row r="6" spans="1:27" x14ac:dyDescent="0.3">
      <c r="A6" s="254" t="s">
        <v>292</v>
      </c>
      <c r="B6" s="254" t="s">
        <v>343</v>
      </c>
      <c r="C6" s="265">
        <v>20</v>
      </c>
      <c r="D6" s="265"/>
      <c r="E6" s="265"/>
      <c r="F6" s="265"/>
      <c r="G6" s="265"/>
      <c r="H6" s="265"/>
      <c r="I6" s="265"/>
      <c r="J6" s="265"/>
      <c r="K6" s="265"/>
      <c r="L6" s="265"/>
      <c r="M6" s="265"/>
      <c r="N6" s="265"/>
      <c r="O6" s="265"/>
      <c r="P6" s="265"/>
      <c r="Q6" s="265"/>
      <c r="R6" s="265"/>
      <c r="S6" s="265"/>
      <c r="T6" s="265"/>
      <c r="U6" s="265"/>
      <c r="V6" s="265"/>
      <c r="W6" s="265"/>
      <c r="X6" s="265"/>
      <c r="Y6" s="265"/>
      <c r="Z6" s="265"/>
      <c r="AA6" s="255"/>
    </row>
    <row r="7" spans="1:27" x14ac:dyDescent="0.3">
      <c r="A7" s="254" t="s">
        <v>293</v>
      </c>
      <c r="B7" s="254" t="s">
        <v>343</v>
      </c>
      <c r="C7" s="265">
        <v>5</v>
      </c>
      <c r="D7" s="265"/>
      <c r="E7" s="265"/>
      <c r="F7" s="265"/>
      <c r="G7" s="265"/>
      <c r="H7" s="265"/>
      <c r="I7" s="265"/>
      <c r="J7" s="265"/>
      <c r="K7" s="265"/>
      <c r="L7" s="265"/>
      <c r="M7" s="265"/>
      <c r="N7" s="265"/>
      <c r="O7" s="265"/>
      <c r="P7" s="265"/>
      <c r="Q7" s="265"/>
      <c r="R7" s="265"/>
      <c r="S7" s="265"/>
      <c r="T7" s="265"/>
      <c r="U7" s="265"/>
      <c r="V7" s="265"/>
      <c r="W7" s="265"/>
      <c r="X7" s="265"/>
      <c r="Y7" s="265"/>
      <c r="Z7" s="265"/>
      <c r="AA7" s="255"/>
    </row>
    <row r="8" spans="1:27" x14ac:dyDescent="0.3">
      <c r="A8" s="256" t="s">
        <v>337</v>
      </c>
      <c r="B8" s="256"/>
      <c r="C8" s="257">
        <f t="shared" ref="C8:AA8" si="0">SUM(C3:C7)</f>
        <v>115</v>
      </c>
      <c r="D8" s="257">
        <f t="shared" si="0"/>
        <v>0</v>
      </c>
      <c r="E8" s="257">
        <f t="shared" si="0"/>
        <v>0</v>
      </c>
      <c r="F8" s="257">
        <f t="shared" si="0"/>
        <v>0</v>
      </c>
      <c r="G8" s="257">
        <f t="shared" si="0"/>
        <v>0</v>
      </c>
      <c r="H8" s="257">
        <f t="shared" si="0"/>
        <v>0</v>
      </c>
      <c r="I8" s="257">
        <f t="shared" si="0"/>
        <v>0</v>
      </c>
      <c r="J8" s="257">
        <f t="shared" si="0"/>
        <v>0</v>
      </c>
      <c r="K8" s="257">
        <f t="shared" si="0"/>
        <v>0</v>
      </c>
      <c r="L8" s="257">
        <f t="shared" si="0"/>
        <v>0</v>
      </c>
      <c r="M8" s="257">
        <f t="shared" si="0"/>
        <v>0</v>
      </c>
      <c r="N8" s="257">
        <f t="shared" si="0"/>
        <v>0</v>
      </c>
      <c r="O8" s="257">
        <f t="shared" si="0"/>
        <v>0</v>
      </c>
      <c r="P8" s="257">
        <f t="shared" si="0"/>
        <v>0</v>
      </c>
      <c r="Q8" s="257">
        <f t="shared" si="0"/>
        <v>0</v>
      </c>
      <c r="R8" s="257">
        <f t="shared" si="0"/>
        <v>0</v>
      </c>
      <c r="S8" s="257">
        <f t="shared" si="0"/>
        <v>0</v>
      </c>
      <c r="T8" s="257">
        <f t="shared" si="0"/>
        <v>0</v>
      </c>
      <c r="U8" s="257">
        <f t="shared" si="0"/>
        <v>0</v>
      </c>
      <c r="V8" s="257">
        <f t="shared" si="0"/>
        <v>0</v>
      </c>
      <c r="W8" s="257">
        <f t="shared" si="0"/>
        <v>0</v>
      </c>
      <c r="X8" s="257">
        <f t="shared" si="0"/>
        <v>0</v>
      </c>
      <c r="Y8" s="257">
        <f t="shared" si="0"/>
        <v>0</v>
      </c>
      <c r="Z8" s="257">
        <f t="shared" si="0"/>
        <v>0</v>
      </c>
      <c r="AA8" s="257">
        <f t="shared" si="0"/>
        <v>0</v>
      </c>
    </row>
    <row r="10" spans="1:27" ht="15" thickBot="1" x14ac:dyDescent="0.35"/>
    <row r="11" spans="1:27" ht="15" thickTop="1" x14ac:dyDescent="0.3">
      <c r="A11" s="239" t="s">
        <v>336</v>
      </c>
      <c r="B11" s="260" t="s">
        <v>346</v>
      </c>
      <c r="C11" s="241" t="s">
        <v>204</v>
      </c>
      <c r="D11" s="241" t="s">
        <v>205</v>
      </c>
      <c r="E11" s="241" t="s">
        <v>206</v>
      </c>
      <c r="F11" s="241" t="s">
        <v>207</v>
      </c>
      <c r="G11" s="241" t="s">
        <v>208</v>
      </c>
      <c r="H11" s="241" t="s">
        <v>209</v>
      </c>
      <c r="I11" s="241" t="s">
        <v>210</v>
      </c>
      <c r="J11" s="241" t="s">
        <v>211</v>
      </c>
      <c r="K11" s="241" t="s">
        <v>212</v>
      </c>
      <c r="L11" s="241" t="s">
        <v>213</v>
      </c>
      <c r="M11" s="241" t="s">
        <v>214</v>
      </c>
      <c r="N11" s="241" t="s">
        <v>215</v>
      </c>
      <c r="O11" s="241" t="s">
        <v>216</v>
      </c>
      <c r="P11" s="241" t="s">
        <v>217</v>
      </c>
      <c r="Q11" s="241" t="s">
        <v>218</v>
      </c>
      <c r="R11" s="241" t="s">
        <v>219</v>
      </c>
      <c r="S11" s="241" t="s">
        <v>220</v>
      </c>
      <c r="T11" s="241" t="s">
        <v>221</v>
      </c>
      <c r="U11" s="241" t="s">
        <v>222</v>
      </c>
      <c r="V11" s="241" t="s">
        <v>223</v>
      </c>
      <c r="W11" s="241" t="s">
        <v>224</v>
      </c>
      <c r="X11" s="241" t="s">
        <v>225</v>
      </c>
      <c r="Y11" s="241" t="s">
        <v>226</v>
      </c>
      <c r="Z11" s="241" t="s">
        <v>227</v>
      </c>
      <c r="AA11" s="242" t="s">
        <v>228</v>
      </c>
    </row>
    <row r="12" spans="1:27" x14ac:dyDescent="0.3">
      <c r="A12" s="237" t="s">
        <v>339</v>
      </c>
      <c r="B12" s="236" t="s">
        <v>346</v>
      </c>
      <c r="C12" s="264">
        <v>0.2</v>
      </c>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4"/>
    </row>
    <row r="13" spans="1:27" x14ac:dyDescent="0.3">
      <c r="A13" s="237" t="s">
        <v>338</v>
      </c>
      <c r="B13" s="236" t="s">
        <v>346</v>
      </c>
      <c r="C13" s="264">
        <v>0.5</v>
      </c>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4"/>
    </row>
    <row r="14" spans="1:27" x14ac:dyDescent="0.3">
      <c r="A14" s="237" t="s">
        <v>340</v>
      </c>
      <c r="B14" s="236" t="s">
        <v>346</v>
      </c>
      <c r="C14" s="264">
        <v>1.17</v>
      </c>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4"/>
    </row>
    <row r="15" spans="1:27" x14ac:dyDescent="0.3">
      <c r="A15" s="237" t="s">
        <v>341</v>
      </c>
      <c r="B15" s="236" t="s">
        <v>346</v>
      </c>
      <c r="C15" s="264">
        <v>2.33</v>
      </c>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6"/>
    </row>
    <row r="16" spans="1:27" x14ac:dyDescent="0.3">
      <c r="A16" s="237" t="s">
        <v>342</v>
      </c>
      <c r="B16" s="236" t="s">
        <v>346</v>
      </c>
      <c r="C16" s="264">
        <v>5</v>
      </c>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8"/>
    </row>
    <row r="17" spans="1:27" ht="15" thickBot="1" x14ac:dyDescent="0.35"/>
    <row r="18" spans="1:27" ht="15" thickTop="1" x14ac:dyDescent="0.3">
      <c r="A18" s="258" t="s">
        <v>344</v>
      </c>
      <c r="B18" s="240"/>
      <c r="C18" s="241" t="s">
        <v>204</v>
      </c>
      <c r="D18" s="241" t="s">
        <v>205</v>
      </c>
      <c r="E18" s="241" t="s">
        <v>206</v>
      </c>
      <c r="F18" s="241" t="s">
        <v>207</v>
      </c>
      <c r="G18" s="241" t="s">
        <v>208</v>
      </c>
      <c r="H18" s="241" t="s">
        <v>209</v>
      </c>
      <c r="I18" s="241" t="s">
        <v>210</v>
      </c>
      <c r="J18" s="241" t="s">
        <v>211</v>
      </c>
      <c r="K18" s="241" t="s">
        <v>212</v>
      </c>
      <c r="L18" s="241" t="s">
        <v>213</v>
      </c>
      <c r="M18" s="241" t="s">
        <v>214</v>
      </c>
      <c r="N18" s="241" t="s">
        <v>215</v>
      </c>
      <c r="O18" s="241" t="s">
        <v>216</v>
      </c>
      <c r="P18" s="241" t="s">
        <v>217</v>
      </c>
      <c r="Q18" s="241" t="s">
        <v>218</v>
      </c>
      <c r="R18" s="241" t="s">
        <v>219</v>
      </c>
      <c r="S18" s="241" t="s">
        <v>220</v>
      </c>
      <c r="T18" s="241" t="s">
        <v>221</v>
      </c>
      <c r="U18" s="241" t="s">
        <v>222</v>
      </c>
      <c r="V18" s="241" t="s">
        <v>223</v>
      </c>
      <c r="W18" s="241" t="s">
        <v>224</v>
      </c>
      <c r="X18" s="241" t="s">
        <v>225</v>
      </c>
      <c r="Y18" s="241" t="s">
        <v>226</v>
      </c>
      <c r="Z18" s="241" t="s">
        <v>227</v>
      </c>
      <c r="AA18" s="242" t="s">
        <v>228</v>
      </c>
    </row>
    <row r="19" spans="1:27" x14ac:dyDescent="0.3">
      <c r="A19" s="237" t="s">
        <v>351</v>
      </c>
      <c r="B19" s="236" t="s">
        <v>345</v>
      </c>
      <c r="C19" s="249">
        <f t="shared" ref="C19:AA19" si="1">+C3*C12</f>
        <v>4</v>
      </c>
      <c r="D19" s="249">
        <f t="shared" si="1"/>
        <v>0</v>
      </c>
      <c r="E19" s="249">
        <f t="shared" si="1"/>
        <v>0</v>
      </c>
      <c r="F19" s="249">
        <f t="shared" si="1"/>
        <v>0</v>
      </c>
      <c r="G19" s="249">
        <f t="shared" si="1"/>
        <v>0</v>
      </c>
      <c r="H19" s="249">
        <f t="shared" si="1"/>
        <v>0</v>
      </c>
      <c r="I19" s="249">
        <f t="shared" si="1"/>
        <v>0</v>
      </c>
      <c r="J19" s="249">
        <f t="shared" si="1"/>
        <v>0</v>
      </c>
      <c r="K19" s="249">
        <f t="shared" si="1"/>
        <v>0</v>
      </c>
      <c r="L19" s="249">
        <f t="shared" si="1"/>
        <v>0</v>
      </c>
      <c r="M19" s="249">
        <f t="shared" si="1"/>
        <v>0</v>
      </c>
      <c r="N19" s="249">
        <f t="shared" si="1"/>
        <v>0</v>
      </c>
      <c r="O19" s="249">
        <f t="shared" si="1"/>
        <v>0</v>
      </c>
      <c r="P19" s="249">
        <f t="shared" si="1"/>
        <v>0</v>
      </c>
      <c r="Q19" s="249">
        <f t="shared" si="1"/>
        <v>0</v>
      </c>
      <c r="R19" s="249">
        <f t="shared" si="1"/>
        <v>0</v>
      </c>
      <c r="S19" s="249">
        <f t="shared" si="1"/>
        <v>0</v>
      </c>
      <c r="T19" s="249">
        <f t="shared" si="1"/>
        <v>0</v>
      </c>
      <c r="U19" s="249">
        <f t="shared" si="1"/>
        <v>0</v>
      </c>
      <c r="V19" s="249">
        <f t="shared" si="1"/>
        <v>0</v>
      </c>
      <c r="W19" s="249">
        <f t="shared" si="1"/>
        <v>0</v>
      </c>
      <c r="X19" s="249">
        <f t="shared" si="1"/>
        <v>0</v>
      </c>
      <c r="Y19" s="249">
        <f t="shared" si="1"/>
        <v>0</v>
      </c>
      <c r="Z19" s="249">
        <f t="shared" si="1"/>
        <v>0</v>
      </c>
      <c r="AA19" s="250">
        <f t="shared" si="1"/>
        <v>0</v>
      </c>
    </row>
    <row r="20" spans="1:27" x14ac:dyDescent="0.3">
      <c r="A20" s="237" t="s">
        <v>347</v>
      </c>
      <c r="B20" s="236" t="s">
        <v>345</v>
      </c>
      <c r="C20" s="249">
        <f t="shared" ref="C20:AA20" si="2">+C4*C13</f>
        <v>17.5</v>
      </c>
      <c r="D20" s="249">
        <f t="shared" si="2"/>
        <v>0</v>
      </c>
      <c r="E20" s="249">
        <f t="shared" si="2"/>
        <v>0</v>
      </c>
      <c r="F20" s="249">
        <f t="shared" si="2"/>
        <v>0</v>
      </c>
      <c r="G20" s="249">
        <f t="shared" si="2"/>
        <v>0</v>
      </c>
      <c r="H20" s="249">
        <f t="shared" si="2"/>
        <v>0</v>
      </c>
      <c r="I20" s="249">
        <f t="shared" si="2"/>
        <v>0</v>
      </c>
      <c r="J20" s="249">
        <f t="shared" si="2"/>
        <v>0</v>
      </c>
      <c r="K20" s="249">
        <f t="shared" si="2"/>
        <v>0</v>
      </c>
      <c r="L20" s="249">
        <f t="shared" si="2"/>
        <v>0</v>
      </c>
      <c r="M20" s="249">
        <f t="shared" si="2"/>
        <v>0</v>
      </c>
      <c r="N20" s="249">
        <f t="shared" si="2"/>
        <v>0</v>
      </c>
      <c r="O20" s="249">
        <f t="shared" si="2"/>
        <v>0</v>
      </c>
      <c r="P20" s="249">
        <f t="shared" si="2"/>
        <v>0</v>
      </c>
      <c r="Q20" s="249">
        <f t="shared" si="2"/>
        <v>0</v>
      </c>
      <c r="R20" s="249">
        <f t="shared" si="2"/>
        <v>0</v>
      </c>
      <c r="S20" s="249">
        <f t="shared" si="2"/>
        <v>0</v>
      </c>
      <c r="T20" s="249">
        <f t="shared" si="2"/>
        <v>0</v>
      </c>
      <c r="U20" s="249">
        <f t="shared" si="2"/>
        <v>0</v>
      </c>
      <c r="V20" s="249">
        <f t="shared" si="2"/>
        <v>0</v>
      </c>
      <c r="W20" s="249">
        <f t="shared" si="2"/>
        <v>0</v>
      </c>
      <c r="X20" s="249">
        <f t="shared" si="2"/>
        <v>0</v>
      </c>
      <c r="Y20" s="249">
        <f t="shared" si="2"/>
        <v>0</v>
      </c>
      <c r="Z20" s="249">
        <f t="shared" si="2"/>
        <v>0</v>
      </c>
      <c r="AA20" s="250">
        <f t="shared" si="2"/>
        <v>0</v>
      </c>
    </row>
    <row r="21" spans="1:27" x14ac:dyDescent="0.3">
      <c r="A21" s="237" t="s">
        <v>348</v>
      </c>
      <c r="B21" s="236" t="s">
        <v>345</v>
      </c>
      <c r="C21" s="249">
        <f t="shared" ref="C21:AA21" si="3">+C5*C14</f>
        <v>40.949999999999996</v>
      </c>
      <c r="D21" s="249">
        <f t="shared" si="3"/>
        <v>0</v>
      </c>
      <c r="E21" s="249">
        <f t="shared" si="3"/>
        <v>0</v>
      </c>
      <c r="F21" s="249">
        <f t="shared" si="3"/>
        <v>0</v>
      </c>
      <c r="G21" s="249">
        <f t="shared" si="3"/>
        <v>0</v>
      </c>
      <c r="H21" s="249">
        <f t="shared" si="3"/>
        <v>0</v>
      </c>
      <c r="I21" s="249">
        <f t="shared" si="3"/>
        <v>0</v>
      </c>
      <c r="J21" s="249">
        <f t="shared" si="3"/>
        <v>0</v>
      </c>
      <c r="K21" s="249">
        <f t="shared" si="3"/>
        <v>0</v>
      </c>
      <c r="L21" s="249">
        <f t="shared" si="3"/>
        <v>0</v>
      </c>
      <c r="M21" s="249">
        <f t="shared" si="3"/>
        <v>0</v>
      </c>
      <c r="N21" s="249">
        <f t="shared" si="3"/>
        <v>0</v>
      </c>
      <c r="O21" s="249">
        <f t="shared" si="3"/>
        <v>0</v>
      </c>
      <c r="P21" s="249">
        <f t="shared" si="3"/>
        <v>0</v>
      </c>
      <c r="Q21" s="249">
        <f t="shared" si="3"/>
        <v>0</v>
      </c>
      <c r="R21" s="249">
        <f t="shared" si="3"/>
        <v>0</v>
      </c>
      <c r="S21" s="249">
        <f t="shared" si="3"/>
        <v>0</v>
      </c>
      <c r="T21" s="249">
        <f t="shared" si="3"/>
        <v>0</v>
      </c>
      <c r="U21" s="249">
        <f t="shared" si="3"/>
        <v>0</v>
      </c>
      <c r="V21" s="249">
        <f t="shared" si="3"/>
        <v>0</v>
      </c>
      <c r="W21" s="249">
        <f t="shared" si="3"/>
        <v>0</v>
      </c>
      <c r="X21" s="249">
        <f t="shared" si="3"/>
        <v>0</v>
      </c>
      <c r="Y21" s="249">
        <f t="shared" si="3"/>
        <v>0</v>
      </c>
      <c r="Z21" s="249">
        <f t="shared" si="3"/>
        <v>0</v>
      </c>
      <c r="AA21" s="250">
        <f t="shared" si="3"/>
        <v>0</v>
      </c>
    </row>
    <row r="22" spans="1:27" x14ac:dyDescent="0.3">
      <c r="A22" s="237" t="s">
        <v>349</v>
      </c>
      <c r="B22" s="236" t="s">
        <v>345</v>
      </c>
      <c r="C22" s="249">
        <f t="shared" ref="C22:AA22" si="4">+C6*C15</f>
        <v>46.6</v>
      </c>
      <c r="D22" s="249">
        <f t="shared" si="4"/>
        <v>0</v>
      </c>
      <c r="E22" s="249">
        <f t="shared" si="4"/>
        <v>0</v>
      </c>
      <c r="F22" s="249">
        <f t="shared" si="4"/>
        <v>0</v>
      </c>
      <c r="G22" s="249">
        <f t="shared" si="4"/>
        <v>0</v>
      </c>
      <c r="H22" s="249">
        <f t="shared" si="4"/>
        <v>0</v>
      </c>
      <c r="I22" s="249">
        <f t="shared" si="4"/>
        <v>0</v>
      </c>
      <c r="J22" s="249">
        <f t="shared" si="4"/>
        <v>0</v>
      </c>
      <c r="K22" s="249">
        <f t="shared" si="4"/>
        <v>0</v>
      </c>
      <c r="L22" s="249">
        <f t="shared" si="4"/>
        <v>0</v>
      </c>
      <c r="M22" s="249">
        <f t="shared" si="4"/>
        <v>0</v>
      </c>
      <c r="N22" s="249">
        <f t="shared" si="4"/>
        <v>0</v>
      </c>
      <c r="O22" s="249">
        <f t="shared" si="4"/>
        <v>0</v>
      </c>
      <c r="P22" s="249">
        <f t="shared" si="4"/>
        <v>0</v>
      </c>
      <c r="Q22" s="249">
        <f t="shared" si="4"/>
        <v>0</v>
      </c>
      <c r="R22" s="249">
        <f t="shared" si="4"/>
        <v>0</v>
      </c>
      <c r="S22" s="249">
        <f t="shared" si="4"/>
        <v>0</v>
      </c>
      <c r="T22" s="249">
        <f t="shared" si="4"/>
        <v>0</v>
      </c>
      <c r="U22" s="249">
        <f t="shared" si="4"/>
        <v>0</v>
      </c>
      <c r="V22" s="249">
        <f t="shared" si="4"/>
        <v>0</v>
      </c>
      <c r="W22" s="249">
        <f t="shared" si="4"/>
        <v>0</v>
      </c>
      <c r="X22" s="249">
        <f t="shared" si="4"/>
        <v>0</v>
      </c>
      <c r="Y22" s="249">
        <f t="shared" si="4"/>
        <v>0</v>
      </c>
      <c r="Z22" s="249">
        <f t="shared" si="4"/>
        <v>0</v>
      </c>
      <c r="AA22" s="250">
        <f t="shared" si="4"/>
        <v>0</v>
      </c>
    </row>
    <row r="23" spans="1:27" x14ac:dyDescent="0.3">
      <c r="A23" s="237" t="s">
        <v>350</v>
      </c>
      <c r="B23" s="236" t="s">
        <v>345</v>
      </c>
      <c r="C23" s="249">
        <f t="shared" ref="C23:AA23" si="5">+C7*C16</f>
        <v>25</v>
      </c>
      <c r="D23" s="249">
        <f t="shared" si="5"/>
        <v>0</v>
      </c>
      <c r="E23" s="249">
        <f t="shared" si="5"/>
        <v>0</v>
      </c>
      <c r="F23" s="249">
        <f t="shared" si="5"/>
        <v>0</v>
      </c>
      <c r="G23" s="249">
        <f t="shared" si="5"/>
        <v>0</v>
      </c>
      <c r="H23" s="249">
        <f t="shared" si="5"/>
        <v>0</v>
      </c>
      <c r="I23" s="249">
        <f t="shared" si="5"/>
        <v>0</v>
      </c>
      <c r="J23" s="249">
        <f t="shared" si="5"/>
        <v>0</v>
      </c>
      <c r="K23" s="249">
        <f t="shared" si="5"/>
        <v>0</v>
      </c>
      <c r="L23" s="249">
        <f t="shared" si="5"/>
        <v>0</v>
      </c>
      <c r="M23" s="249">
        <f t="shared" si="5"/>
        <v>0</v>
      </c>
      <c r="N23" s="249">
        <f t="shared" si="5"/>
        <v>0</v>
      </c>
      <c r="O23" s="249">
        <f t="shared" si="5"/>
        <v>0</v>
      </c>
      <c r="P23" s="249">
        <f t="shared" si="5"/>
        <v>0</v>
      </c>
      <c r="Q23" s="249">
        <f t="shared" si="5"/>
        <v>0</v>
      </c>
      <c r="R23" s="249">
        <f t="shared" si="5"/>
        <v>0</v>
      </c>
      <c r="S23" s="249">
        <f t="shared" si="5"/>
        <v>0</v>
      </c>
      <c r="T23" s="249">
        <f t="shared" si="5"/>
        <v>0</v>
      </c>
      <c r="U23" s="249">
        <f t="shared" si="5"/>
        <v>0</v>
      </c>
      <c r="V23" s="249">
        <f t="shared" si="5"/>
        <v>0</v>
      </c>
      <c r="W23" s="249">
        <f t="shared" si="5"/>
        <v>0</v>
      </c>
      <c r="X23" s="249">
        <f t="shared" si="5"/>
        <v>0</v>
      </c>
      <c r="Y23" s="249">
        <f t="shared" si="5"/>
        <v>0</v>
      </c>
      <c r="Z23" s="249">
        <f t="shared" si="5"/>
        <v>0</v>
      </c>
      <c r="AA23" s="249">
        <f t="shared" si="5"/>
        <v>0</v>
      </c>
    </row>
    <row r="24" spans="1:27" s="218" customFormat="1" x14ac:dyDescent="0.3">
      <c r="A24" s="251" t="s">
        <v>294</v>
      </c>
      <c r="B24" s="236" t="s">
        <v>345</v>
      </c>
      <c r="C24" s="225">
        <f>SUM(C19:C23)</f>
        <v>134.05000000000001</v>
      </c>
      <c r="D24" s="225">
        <f t="shared" ref="D24:AA24" si="6">SUM(D19:D23)</f>
        <v>0</v>
      </c>
      <c r="E24" s="225">
        <f t="shared" si="6"/>
        <v>0</v>
      </c>
      <c r="F24" s="225">
        <f t="shared" si="6"/>
        <v>0</v>
      </c>
      <c r="G24" s="225">
        <f t="shared" si="6"/>
        <v>0</v>
      </c>
      <c r="H24" s="225">
        <f t="shared" si="6"/>
        <v>0</v>
      </c>
      <c r="I24" s="225">
        <f t="shared" si="6"/>
        <v>0</v>
      </c>
      <c r="J24" s="225">
        <f t="shared" si="6"/>
        <v>0</v>
      </c>
      <c r="K24" s="225">
        <f t="shared" si="6"/>
        <v>0</v>
      </c>
      <c r="L24" s="225">
        <f t="shared" si="6"/>
        <v>0</v>
      </c>
      <c r="M24" s="225">
        <f t="shared" si="6"/>
        <v>0</v>
      </c>
      <c r="N24" s="225">
        <f t="shared" si="6"/>
        <v>0</v>
      </c>
      <c r="O24" s="225">
        <f t="shared" si="6"/>
        <v>0</v>
      </c>
      <c r="P24" s="225">
        <f t="shared" si="6"/>
        <v>0</v>
      </c>
      <c r="Q24" s="225">
        <f t="shared" si="6"/>
        <v>0</v>
      </c>
      <c r="R24" s="225">
        <f t="shared" si="6"/>
        <v>0</v>
      </c>
      <c r="S24" s="225">
        <f t="shared" si="6"/>
        <v>0</v>
      </c>
      <c r="T24" s="225">
        <f t="shared" si="6"/>
        <v>0</v>
      </c>
      <c r="U24" s="225">
        <f t="shared" si="6"/>
        <v>0</v>
      </c>
      <c r="V24" s="225">
        <f t="shared" si="6"/>
        <v>0</v>
      </c>
      <c r="W24" s="225">
        <f t="shared" si="6"/>
        <v>0</v>
      </c>
      <c r="X24" s="225">
        <f t="shared" si="6"/>
        <v>0</v>
      </c>
      <c r="Y24" s="225">
        <f t="shared" si="6"/>
        <v>0</v>
      </c>
      <c r="Z24" s="225">
        <f t="shared" si="6"/>
        <v>0</v>
      </c>
      <c r="AA24" s="225">
        <f t="shared" si="6"/>
        <v>0</v>
      </c>
    </row>
    <row r="26" spans="1:27" x14ac:dyDescent="0.3">
      <c r="A26" s="252" t="s">
        <v>305</v>
      </c>
      <c r="B26" s="252"/>
      <c r="C26" s="253">
        <f t="shared" ref="C26:AA26" si="7">+C24*COEFF_FOISON</f>
        <v>134.05000000000001</v>
      </c>
      <c r="D26" s="253">
        <f t="shared" si="7"/>
        <v>0</v>
      </c>
      <c r="E26" s="253">
        <f t="shared" si="7"/>
        <v>0</v>
      </c>
      <c r="F26" s="253">
        <f t="shared" si="7"/>
        <v>0</v>
      </c>
      <c r="G26" s="253">
        <f t="shared" si="7"/>
        <v>0</v>
      </c>
      <c r="H26" s="253">
        <f t="shared" si="7"/>
        <v>0</v>
      </c>
      <c r="I26" s="253">
        <f t="shared" si="7"/>
        <v>0</v>
      </c>
      <c r="J26" s="253">
        <f t="shared" si="7"/>
        <v>0</v>
      </c>
      <c r="K26" s="253">
        <f t="shared" si="7"/>
        <v>0</v>
      </c>
      <c r="L26" s="253">
        <f t="shared" si="7"/>
        <v>0</v>
      </c>
      <c r="M26" s="253">
        <f t="shared" si="7"/>
        <v>0</v>
      </c>
      <c r="N26" s="253">
        <f t="shared" si="7"/>
        <v>0</v>
      </c>
      <c r="O26" s="253">
        <f t="shared" si="7"/>
        <v>0</v>
      </c>
      <c r="P26" s="253">
        <f t="shared" si="7"/>
        <v>0</v>
      </c>
      <c r="Q26" s="253">
        <f t="shared" si="7"/>
        <v>0</v>
      </c>
      <c r="R26" s="253">
        <f t="shared" si="7"/>
        <v>0</v>
      </c>
      <c r="S26" s="253">
        <f t="shared" si="7"/>
        <v>0</v>
      </c>
      <c r="T26" s="253">
        <f t="shared" si="7"/>
        <v>0</v>
      </c>
      <c r="U26" s="253">
        <f t="shared" si="7"/>
        <v>0</v>
      </c>
      <c r="V26" s="253">
        <f t="shared" si="7"/>
        <v>0</v>
      </c>
      <c r="W26" s="253">
        <f t="shared" si="7"/>
        <v>0</v>
      </c>
      <c r="X26" s="253">
        <f t="shared" si="7"/>
        <v>0</v>
      </c>
      <c r="Y26" s="253">
        <f t="shared" si="7"/>
        <v>0</v>
      </c>
      <c r="Z26" s="253">
        <f t="shared" si="7"/>
        <v>0</v>
      </c>
      <c r="AA26" s="253">
        <f t="shared" si="7"/>
        <v>0</v>
      </c>
    </row>
    <row r="28" spans="1:27" x14ac:dyDescent="0.3">
      <c r="A28" s="252" t="s">
        <v>370</v>
      </c>
      <c r="B28" s="252" t="s">
        <v>371</v>
      </c>
      <c r="C28" s="253">
        <f>+C26*360/1000</f>
        <v>48.25800000000001</v>
      </c>
      <c r="D28" s="253">
        <f t="shared" ref="D28:AA28" si="8">+D26*360/1000</f>
        <v>0</v>
      </c>
      <c r="E28" s="253">
        <f t="shared" si="8"/>
        <v>0</v>
      </c>
      <c r="F28" s="253">
        <f t="shared" si="8"/>
        <v>0</v>
      </c>
      <c r="G28" s="253">
        <f t="shared" si="8"/>
        <v>0</v>
      </c>
      <c r="H28" s="253">
        <f t="shared" si="8"/>
        <v>0</v>
      </c>
      <c r="I28" s="253">
        <f t="shared" si="8"/>
        <v>0</v>
      </c>
      <c r="J28" s="253">
        <f t="shared" si="8"/>
        <v>0</v>
      </c>
      <c r="K28" s="253">
        <f t="shared" si="8"/>
        <v>0</v>
      </c>
      <c r="L28" s="253">
        <f t="shared" si="8"/>
        <v>0</v>
      </c>
      <c r="M28" s="253">
        <f t="shared" si="8"/>
        <v>0</v>
      </c>
      <c r="N28" s="253">
        <f t="shared" si="8"/>
        <v>0</v>
      </c>
      <c r="O28" s="253">
        <f t="shared" si="8"/>
        <v>0</v>
      </c>
      <c r="P28" s="253">
        <f t="shared" si="8"/>
        <v>0</v>
      </c>
      <c r="Q28" s="253">
        <f t="shared" si="8"/>
        <v>0</v>
      </c>
      <c r="R28" s="253">
        <f t="shared" si="8"/>
        <v>0</v>
      </c>
      <c r="S28" s="253">
        <f t="shared" si="8"/>
        <v>0</v>
      </c>
      <c r="T28" s="253">
        <f t="shared" si="8"/>
        <v>0</v>
      </c>
      <c r="U28" s="253">
        <f t="shared" si="8"/>
        <v>0</v>
      </c>
      <c r="V28" s="253">
        <f t="shared" si="8"/>
        <v>0</v>
      </c>
      <c r="W28" s="253">
        <f t="shared" si="8"/>
        <v>0</v>
      </c>
      <c r="X28" s="253">
        <f t="shared" si="8"/>
        <v>0</v>
      </c>
      <c r="Y28" s="253">
        <f t="shared" si="8"/>
        <v>0</v>
      </c>
      <c r="Z28" s="253">
        <f t="shared" si="8"/>
        <v>0</v>
      </c>
      <c r="AA28" s="253">
        <f t="shared" si="8"/>
        <v>0</v>
      </c>
    </row>
  </sheetData>
  <phoneticPr fontId="35" type="noConversion"/>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B40"/>
  <sheetViews>
    <sheetView topLeftCell="A22" zoomScaleNormal="100" zoomScaleSheetLayoutView="90" workbookViewId="0">
      <selection activeCell="D37" sqref="D37"/>
    </sheetView>
  </sheetViews>
  <sheetFormatPr baseColWidth="10" defaultColWidth="11.5546875" defaultRowHeight="14.4" x14ac:dyDescent="0.3"/>
  <cols>
    <col min="1" max="1" width="26.21875" style="238" customWidth="1"/>
    <col min="2" max="2" width="9.77734375" style="238" customWidth="1"/>
    <col min="3" max="3" width="6.21875" style="238" bestFit="1" customWidth="1"/>
    <col min="4" max="4" width="10.44140625" style="238" bestFit="1" customWidth="1"/>
    <col min="5" max="28" width="7.88671875" style="238" customWidth="1"/>
    <col min="29" max="16384" width="11.5546875" style="238"/>
  </cols>
  <sheetData>
    <row r="1" spans="1:28" s="272" customFormat="1" x14ac:dyDescent="0.3">
      <c r="A1" s="270" t="s">
        <v>152</v>
      </c>
      <c r="B1" s="270"/>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row>
    <row r="2" spans="1:28" s="272" customFormat="1" x14ac:dyDescent="0.3">
      <c r="A2" s="273"/>
      <c r="B2" s="273"/>
      <c r="C2" s="274">
        <v>0</v>
      </c>
      <c r="D2" s="274">
        <v>1</v>
      </c>
      <c r="E2" s="274">
        <f t="shared" ref="E2:AB2" si="0">D2+1</f>
        <v>2</v>
      </c>
      <c r="F2" s="274">
        <f t="shared" si="0"/>
        <v>3</v>
      </c>
      <c r="G2" s="274">
        <f t="shared" si="0"/>
        <v>4</v>
      </c>
      <c r="H2" s="274">
        <f t="shared" si="0"/>
        <v>5</v>
      </c>
      <c r="I2" s="274">
        <f t="shared" si="0"/>
        <v>6</v>
      </c>
      <c r="J2" s="274">
        <f t="shared" si="0"/>
        <v>7</v>
      </c>
      <c r="K2" s="274">
        <f t="shared" si="0"/>
        <v>8</v>
      </c>
      <c r="L2" s="274">
        <f t="shared" si="0"/>
        <v>9</v>
      </c>
      <c r="M2" s="274">
        <f t="shared" si="0"/>
        <v>10</v>
      </c>
      <c r="N2" s="274">
        <f t="shared" si="0"/>
        <v>11</v>
      </c>
      <c r="O2" s="274">
        <f t="shared" si="0"/>
        <v>12</v>
      </c>
      <c r="P2" s="274">
        <f t="shared" si="0"/>
        <v>13</v>
      </c>
      <c r="Q2" s="274">
        <f t="shared" si="0"/>
        <v>14</v>
      </c>
      <c r="R2" s="274">
        <f t="shared" si="0"/>
        <v>15</v>
      </c>
      <c r="S2" s="274">
        <f t="shared" si="0"/>
        <v>16</v>
      </c>
      <c r="T2" s="274">
        <f t="shared" si="0"/>
        <v>17</v>
      </c>
      <c r="U2" s="274">
        <f t="shared" si="0"/>
        <v>18</v>
      </c>
      <c r="V2" s="274">
        <f t="shared" si="0"/>
        <v>19</v>
      </c>
      <c r="W2" s="274">
        <f t="shared" si="0"/>
        <v>20</v>
      </c>
      <c r="X2" s="274">
        <f t="shared" si="0"/>
        <v>21</v>
      </c>
      <c r="Y2" s="274">
        <f t="shared" si="0"/>
        <v>22</v>
      </c>
      <c r="Z2" s="274">
        <f t="shared" si="0"/>
        <v>23</v>
      </c>
      <c r="AA2" s="274">
        <f t="shared" si="0"/>
        <v>24</v>
      </c>
      <c r="AB2" s="274">
        <f t="shared" si="0"/>
        <v>25</v>
      </c>
    </row>
    <row r="3" spans="1:28" s="277" customFormat="1" ht="22.8" customHeight="1" x14ac:dyDescent="0.3">
      <c r="A3" s="331" t="s">
        <v>358</v>
      </c>
      <c r="B3" s="331"/>
      <c r="C3" s="275"/>
      <c r="D3" s="276"/>
      <c r="E3" s="276"/>
      <c r="F3" s="276"/>
      <c r="G3" s="276"/>
      <c r="H3" s="276"/>
      <c r="I3" s="276"/>
      <c r="J3" s="276"/>
      <c r="K3" s="276"/>
      <c r="L3" s="276"/>
      <c r="M3" s="276"/>
      <c r="N3" s="276"/>
      <c r="O3" s="276"/>
      <c r="P3" s="276"/>
      <c r="Q3" s="276"/>
      <c r="R3" s="276"/>
      <c r="S3" s="276"/>
      <c r="T3" s="276"/>
      <c r="U3" s="276"/>
      <c r="V3" s="276"/>
      <c r="W3" s="276"/>
      <c r="X3" s="276"/>
      <c r="Y3" s="276"/>
      <c r="Z3" s="276"/>
      <c r="AA3" s="276"/>
      <c r="AB3" s="276"/>
    </row>
    <row r="4" spans="1:28" s="272" customFormat="1" ht="28.2" x14ac:dyDescent="0.3">
      <c r="A4" s="278" t="s">
        <v>149</v>
      </c>
      <c r="B4" s="279" t="s">
        <v>154</v>
      </c>
      <c r="C4" s="280"/>
      <c r="D4" s="281">
        <f>+'calcul de demande journalière'!C3</f>
        <v>20</v>
      </c>
      <c r="E4" s="281">
        <f>+IF('calcul de demande journalière'!D3=0,0,'calcul de demande journalière'!D3-'calcul de demande journalière'!C3)</f>
        <v>0</v>
      </c>
      <c r="F4" s="281">
        <f>+IF('calcul de demande journalière'!E3=0,0,'calcul de demande journalière'!E3-'calcul de demande journalière'!D3)</f>
        <v>0</v>
      </c>
      <c r="G4" s="281">
        <f>+IF('calcul de demande journalière'!F3=0,0,'calcul de demande journalière'!F3-'calcul de demande journalière'!E3)</f>
        <v>0</v>
      </c>
      <c r="H4" s="281">
        <f>+IF('calcul de demande journalière'!G3=0,0,'calcul de demande journalière'!G3-'calcul de demande journalière'!F3)</f>
        <v>0</v>
      </c>
      <c r="I4" s="281">
        <f>+IF('calcul de demande journalière'!H3=0,0,'calcul de demande journalière'!H3-'calcul de demande journalière'!G3)</f>
        <v>0</v>
      </c>
      <c r="J4" s="281">
        <f>+IF('calcul de demande journalière'!I3=0,0,'calcul de demande journalière'!I3-'calcul de demande journalière'!H3)</f>
        <v>0</v>
      </c>
      <c r="K4" s="281">
        <f>+IF('calcul de demande journalière'!J3=0,0,'calcul de demande journalière'!J3-'calcul de demande journalière'!I3)</f>
        <v>0</v>
      </c>
      <c r="L4" s="281">
        <f>+IF('calcul de demande journalière'!K3=0,0,'calcul de demande journalière'!K3-'calcul de demande journalière'!J3)</f>
        <v>0</v>
      </c>
      <c r="M4" s="281">
        <f>+IF('calcul de demande journalière'!L3=0,0,'calcul de demande journalière'!L3-'calcul de demande journalière'!K3)</f>
        <v>0</v>
      </c>
      <c r="N4" s="281">
        <f>+IF('calcul de demande journalière'!M3=0,0,'calcul de demande journalière'!M3-'calcul de demande journalière'!L3)</f>
        <v>0</v>
      </c>
      <c r="O4" s="281">
        <f>+IF('calcul de demande journalière'!N3=0,0,'calcul de demande journalière'!N3-'calcul de demande journalière'!M3)</f>
        <v>0</v>
      </c>
      <c r="P4" s="281">
        <f>+IF('calcul de demande journalière'!O3=0,0,'calcul de demande journalière'!O3-'calcul de demande journalière'!N3)</f>
        <v>0</v>
      </c>
      <c r="Q4" s="281">
        <f>+IF('calcul de demande journalière'!P3=0,0,'calcul de demande journalière'!P3-'calcul de demande journalière'!O3)</f>
        <v>0</v>
      </c>
      <c r="R4" s="281">
        <f>+IF('calcul de demande journalière'!Q3=0,0,'calcul de demande journalière'!Q3-'calcul de demande journalière'!P3)</f>
        <v>0</v>
      </c>
      <c r="S4" s="281">
        <f>+IF('calcul de demande journalière'!R3=0,0,'calcul de demande journalière'!R3-'calcul de demande journalière'!Q3)</f>
        <v>0</v>
      </c>
      <c r="T4" s="281">
        <f>+IF('calcul de demande journalière'!S3=0,0,'calcul de demande journalière'!S3-'calcul de demande journalière'!R3)</f>
        <v>0</v>
      </c>
      <c r="U4" s="281">
        <f>+IF('calcul de demande journalière'!T3=0,0,'calcul de demande journalière'!T3-'calcul de demande journalière'!S3)</f>
        <v>0</v>
      </c>
      <c r="V4" s="281">
        <f>+IF('calcul de demande journalière'!U3=0,0,'calcul de demande journalière'!U3-'calcul de demande journalière'!T3)</f>
        <v>0</v>
      </c>
      <c r="W4" s="281">
        <f>+IF('calcul de demande journalière'!V3=0,0,'calcul de demande journalière'!V3-'calcul de demande journalière'!U3)</f>
        <v>0</v>
      </c>
      <c r="X4" s="281">
        <f>+IF('calcul de demande journalière'!W3=0,0,'calcul de demande journalière'!W3-'calcul de demande journalière'!V3)</f>
        <v>0</v>
      </c>
      <c r="Y4" s="281">
        <f>+IF('calcul de demande journalière'!X3=0,0,'calcul de demande journalière'!X3-'calcul de demande journalière'!W3)</f>
        <v>0</v>
      </c>
      <c r="Z4" s="281">
        <f>+IF('calcul de demande journalière'!Y3=0,0,'calcul de demande journalière'!Y3-'calcul de demande journalière'!X3)</f>
        <v>0</v>
      </c>
      <c r="AA4" s="281">
        <f>+IF('calcul de demande journalière'!Z3=0,0,'calcul de demande journalière'!Z3-'calcul de demande journalière'!Y3)</f>
        <v>0</v>
      </c>
      <c r="AB4" s="281">
        <f>+IF('calcul de demande journalière'!AA3=0,0,'calcul de demande journalière'!AA3-'calcul de demande journalière'!Z3)</f>
        <v>0</v>
      </c>
    </row>
    <row r="5" spans="1:28" s="272" customFormat="1" ht="28.2" x14ac:dyDescent="0.3">
      <c r="A5" s="278" t="s">
        <v>286</v>
      </c>
      <c r="B5" s="279" t="s">
        <v>154</v>
      </c>
      <c r="C5" s="280"/>
      <c r="D5" s="281">
        <f>+'calcul de demande journalière'!C4</f>
        <v>35</v>
      </c>
      <c r="E5" s="281">
        <f>+IF('calcul de demande journalière'!D4=0,0,'calcul de demande journalière'!D4-'calcul de demande journalière'!C4)</f>
        <v>0</v>
      </c>
      <c r="F5" s="281">
        <f>+IF('calcul de demande journalière'!E4=0,0,'calcul de demande journalière'!E4-'calcul de demande journalière'!D4)</f>
        <v>0</v>
      </c>
      <c r="G5" s="281">
        <f>+IF('calcul de demande journalière'!F4=0,0,'calcul de demande journalière'!F4-'calcul de demande journalière'!E4)</f>
        <v>0</v>
      </c>
      <c r="H5" s="281">
        <f>+IF('calcul de demande journalière'!G4=0,0,'calcul de demande journalière'!G4-'calcul de demande journalière'!F4)</f>
        <v>0</v>
      </c>
      <c r="I5" s="281">
        <f>+IF('calcul de demande journalière'!H4=0,0,'calcul de demande journalière'!H4-'calcul de demande journalière'!G4)</f>
        <v>0</v>
      </c>
      <c r="J5" s="281">
        <f>+IF('calcul de demande journalière'!I4=0,0,'calcul de demande journalière'!I4-'calcul de demande journalière'!H4)</f>
        <v>0</v>
      </c>
      <c r="K5" s="281">
        <f>+IF('calcul de demande journalière'!J4=0,0,'calcul de demande journalière'!J4-'calcul de demande journalière'!I4)</f>
        <v>0</v>
      </c>
      <c r="L5" s="281">
        <f>+IF('calcul de demande journalière'!K4=0,0,'calcul de demande journalière'!K4-'calcul de demande journalière'!J4)</f>
        <v>0</v>
      </c>
      <c r="M5" s="281">
        <f>+IF('calcul de demande journalière'!L4=0,0,'calcul de demande journalière'!L4-'calcul de demande journalière'!K4)</f>
        <v>0</v>
      </c>
      <c r="N5" s="281">
        <f>+IF('calcul de demande journalière'!M4=0,0,'calcul de demande journalière'!M4-'calcul de demande journalière'!L4)</f>
        <v>0</v>
      </c>
      <c r="O5" s="281">
        <f>+IF('calcul de demande journalière'!N4=0,0,'calcul de demande journalière'!N4-'calcul de demande journalière'!M4)</f>
        <v>0</v>
      </c>
      <c r="P5" s="281">
        <f>+IF('calcul de demande journalière'!O4=0,0,'calcul de demande journalière'!O4-'calcul de demande journalière'!N4)</f>
        <v>0</v>
      </c>
      <c r="Q5" s="281">
        <f>+IF('calcul de demande journalière'!P4=0,0,'calcul de demande journalière'!P4-'calcul de demande journalière'!O4)</f>
        <v>0</v>
      </c>
      <c r="R5" s="281">
        <f>+IF('calcul de demande journalière'!Q4=0,0,'calcul de demande journalière'!Q4-'calcul de demande journalière'!P4)</f>
        <v>0</v>
      </c>
      <c r="S5" s="281">
        <f>+IF('calcul de demande journalière'!R4=0,0,'calcul de demande journalière'!R4-'calcul de demande journalière'!Q4)</f>
        <v>0</v>
      </c>
      <c r="T5" s="281">
        <f>+IF('calcul de demande journalière'!S4=0,0,'calcul de demande journalière'!S4-'calcul de demande journalière'!R4)</f>
        <v>0</v>
      </c>
      <c r="U5" s="281">
        <f>+IF('calcul de demande journalière'!T4=0,0,'calcul de demande journalière'!T4-'calcul de demande journalière'!S4)</f>
        <v>0</v>
      </c>
      <c r="V5" s="281">
        <f>+IF('calcul de demande journalière'!U4=0,0,'calcul de demande journalière'!U4-'calcul de demande journalière'!T4)</f>
        <v>0</v>
      </c>
      <c r="W5" s="281">
        <f>+IF('calcul de demande journalière'!V4=0,0,'calcul de demande journalière'!V4-'calcul de demande journalière'!U4)</f>
        <v>0</v>
      </c>
      <c r="X5" s="281">
        <f>+IF('calcul de demande journalière'!W4=0,0,'calcul de demande journalière'!W4-'calcul de demande journalière'!V4)</f>
        <v>0</v>
      </c>
      <c r="Y5" s="281">
        <f>+IF('calcul de demande journalière'!X4=0,0,'calcul de demande journalière'!X4-'calcul de demande journalière'!W4)</f>
        <v>0</v>
      </c>
      <c r="Z5" s="281">
        <f>+IF('calcul de demande journalière'!Y4=0,0,'calcul de demande journalière'!Y4-'calcul de demande journalière'!X4)</f>
        <v>0</v>
      </c>
      <c r="AA5" s="281">
        <f>+IF('calcul de demande journalière'!Z4=0,0,'calcul de demande journalière'!Z4-'calcul de demande journalière'!Y4)</f>
        <v>0</v>
      </c>
      <c r="AB5" s="281">
        <f>+IF('calcul de demande journalière'!AA4=0,0,'calcul de demande journalière'!AA4-'calcul de demande journalière'!Z4)</f>
        <v>0</v>
      </c>
    </row>
    <row r="6" spans="1:28" s="272" customFormat="1" ht="28.2" x14ac:dyDescent="0.3">
      <c r="A6" s="278" t="s">
        <v>111</v>
      </c>
      <c r="B6" s="279" t="s">
        <v>154</v>
      </c>
      <c r="C6" s="280"/>
      <c r="D6" s="281">
        <f>+'calcul de demande journalière'!C5</f>
        <v>35</v>
      </c>
      <c r="E6" s="281">
        <f>+IF('calcul de demande journalière'!D5=0,0,'calcul de demande journalière'!D5-'calcul de demande journalière'!C5)</f>
        <v>0</v>
      </c>
      <c r="F6" s="281">
        <f>+IF('calcul de demande journalière'!E5=0,0,'calcul de demande journalière'!E5-'calcul de demande journalière'!D5)</f>
        <v>0</v>
      </c>
      <c r="G6" s="281">
        <f>+IF('calcul de demande journalière'!F5=0,0,'calcul de demande journalière'!F5-'calcul de demande journalière'!E5)</f>
        <v>0</v>
      </c>
      <c r="H6" s="281">
        <f>+IF('calcul de demande journalière'!G5=0,0,'calcul de demande journalière'!G5-'calcul de demande journalière'!F5)</f>
        <v>0</v>
      </c>
      <c r="I6" s="281">
        <f>+IF('calcul de demande journalière'!H5=0,0,'calcul de demande journalière'!H5-'calcul de demande journalière'!G5)</f>
        <v>0</v>
      </c>
      <c r="J6" s="281">
        <f>+IF('calcul de demande journalière'!I5=0,0,'calcul de demande journalière'!I5-'calcul de demande journalière'!H5)</f>
        <v>0</v>
      </c>
      <c r="K6" s="281">
        <f>+IF('calcul de demande journalière'!J5=0,0,'calcul de demande journalière'!J5-'calcul de demande journalière'!I5)</f>
        <v>0</v>
      </c>
      <c r="L6" s="281">
        <f>+IF('calcul de demande journalière'!K5=0,0,'calcul de demande journalière'!K5-'calcul de demande journalière'!J5)</f>
        <v>0</v>
      </c>
      <c r="M6" s="281">
        <f>+IF('calcul de demande journalière'!L5=0,0,'calcul de demande journalière'!L5-'calcul de demande journalière'!K5)</f>
        <v>0</v>
      </c>
      <c r="N6" s="281">
        <f>+IF('calcul de demande journalière'!M5=0,0,'calcul de demande journalière'!M5-'calcul de demande journalière'!L5)</f>
        <v>0</v>
      </c>
      <c r="O6" s="281">
        <f>+IF('calcul de demande journalière'!N5=0,0,'calcul de demande journalière'!N5-'calcul de demande journalière'!M5)</f>
        <v>0</v>
      </c>
      <c r="P6" s="281">
        <f>+IF('calcul de demande journalière'!O5=0,0,'calcul de demande journalière'!O5-'calcul de demande journalière'!N5)</f>
        <v>0</v>
      </c>
      <c r="Q6" s="281">
        <f>+IF('calcul de demande journalière'!P5=0,0,'calcul de demande journalière'!P5-'calcul de demande journalière'!O5)</f>
        <v>0</v>
      </c>
      <c r="R6" s="281">
        <f>+IF('calcul de demande journalière'!Q5=0,0,'calcul de demande journalière'!Q5-'calcul de demande journalière'!P5)</f>
        <v>0</v>
      </c>
      <c r="S6" s="281">
        <f>+IF('calcul de demande journalière'!R5=0,0,'calcul de demande journalière'!R5-'calcul de demande journalière'!Q5)</f>
        <v>0</v>
      </c>
      <c r="T6" s="281">
        <f>+IF('calcul de demande journalière'!S5=0,0,'calcul de demande journalière'!S5-'calcul de demande journalière'!R5)</f>
        <v>0</v>
      </c>
      <c r="U6" s="281">
        <f>+IF('calcul de demande journalière'!T5=0,0,'calcul de demande journalière'!T5-'calcul de demande journalière'!S5)</f>
        <v>0</v>
      </c>
      <c r="V6" s="281">
        <f>+IF('calcul de demande journalière'!U5=0,0,'calcul de demande journalière'!U5-'calcul de demande journalière'!T5)</f>
        <v>0</v>
      </c>
      <c r="W6" s="281">
        <f>+IF('calcul de demande journalière'!V5=0,0,'calcul de demande journalière'!V5-'calcul de demande journalière'!U5)</f>
        <v>0</v>
      </c>
      <c r="X6" s="281">
        <f>+IF('calcul de demande journalière'!W5=0,0,'calcul de demande journalière'!W5-'calcul de demande journalière'!V5)</f>
        <v>0</v>
      </c>
      <c r="Y6" s="281">
        <f>+IF('calcul de demande journalière'!X5=0,0,'calcul de demande journalière'!X5-'calcul de demande journalière'!W5)</f>
        <v>0</v>
      </c>
      <c r="Z6" s="281">
        <f>+IF('calcul de demande journalière'!Y5=0,0,'calcul de demande journalière'!Y5-'calcul de demande journalière'!X5)</f>
        <v>0</v>
      </c>
      <c r="AA6" s="281">
        <f>+IF('calcul de demande journalière'!Z5=0,0,'calcul de demande journalière'!Z5-'calcul de demande journalière'!Y5)</f>
        <v>0</v>
      </c>
      <c r="AB6" s="281">
        <f>+IF('calcul de demande journalière'!AA5=0,0,'calcul de demande journalière'!AA5-'calcul de demande journalière'!Z5)</f>
        <v>0</v>
      </c>
    </row>
    <row r="7" spans="1:28" s="272" customFormat="1" ht="28.2" x14ac:dyDescent="0.3">
      <c r="A7" s="278" t="s">
        <v>144</v>
      </c>
      <c r="B7" s="279" t="s">
        <v>154</v>
      </c>
      <c r="C7" s="280"/>
      <c r="D7" s="281">
        <f>+'calcul de demande journalière'!C6</f>
        <v>20</v>
      </c>
      <c r="E7" s="281">
        <f>+IF('calcul de demande journalière'!D6=0,0,'calcul de demande journalière'!D6-'calcul de demande journalière'!C6)</f>
        <v>0</v>
      </c>
      <c r="F7" s="281">
        <f>+IF('calcul de demande journalière'!E6=0,0,'calcul de demande journalière'!E6-'calcul de demande journalière'!D6)</f>
        <v>0</v>
      </c>
      <c r="G7" s="281">
        <f>+IF('calcul de demande journalière'!F6=0,0,'calcul de demande journalière'!F6-'calcul de demande journalière'!E6)</f>
        <v>0</v>
      </c>
      <c r="H7" s="281">
        <f>+IF('calcul de demande journalière'!G6=0,0,'calcul de demande journalière'!G6-'calcul de demande journalière'!F6)</f>
        <v>0</v>
      </c>
      <c r="I7" s="281">
        <f>+IF('calcul de demande journalière'!H6=0,0,'calcul de demande journalière'!H6-'calcul de demande journalière'!G6)</f>
        <v>0</v>
      </c>
      <c r="J7" s="281">
        <f>+IF('calcul de demande journalière'!I6=0,0,'calcul de demande journalière'!I6-'calcul de demande journalière'!H6)</f>
        <v>0</v>
      </c>
      <c r="K7" s="281">
        <f>+IF('calcul de demande journalière'!J6=0,0,'calcul de demande journalière'!J6-'calcul de demande journalière'!I6)</f>
        <v>0</v>
      </c>
      <c r="L7" s="281">
        <f>+IF('calcul de demande journalière'!K6=0,0,'calcul de demande journalière'!K6-'calcul de demande journalière'!J6)</f>
        <v>0</v>
      </c>
      <c r="M7" s="281">
        <f>+IF('calcul de demande journalière'!L6=0,0,'calcul de demande journalière'!L6-'calcul de demande journalière'!K6)</f>
        <v>0</v>
      </c>
      <c r="N7" s="281">
        <f>+IF('calcul de demande journalière'!M6=0,0,'calcul de demande journalière'!M6-'calcul de demande journalière'!L6)</f>
        <v>0</v>
      </c>
      <c r="O7" s="281">
        <f>+IF('calcul de demande journalière'!N6=0,0,'calcul de demande journalière'!N6-'calcul de demande journalière'!M6)</f>
        <v>0</v>
      </c>
      <c r="P7" s="281">
        <f>+IF('calcul de demande journalière'!O6=0,0,'calcul de demande journalière'!O6-'calcul de demande journalière'!N6)</f>
        <v>0</v>
      </c>
      <c r="Q7" s="281">
        <f>+IF('calcul de demande journalière'!P6=0,0,'calcul de demande journalière'!P6-'calcul de demande journalière'!O6)</f>
        <v>0</v>
      </c>
      <c r="R7" s="281">
        <f>+IF('calcul de demande journalière'!Q6=0,0,'calcul de demande journalière'!Q6-'calcul de demande journalière'!P6)</f>
        <v>0</v>
      </c>
      <c r="S7" s="281">
        <f>+IF('calcul de demande journalière'!R6=0,0,'calcul de demande journalière'!R6-'calcul de demande journalière'!Q6)</f>
        <v>0</v>
      </c>
      <c r="T7" s="281">
        <f>+IF('calcul de demande journalière'!S6=0,0,'calcul de demande journalière'!S6-'calcul de demande journalière'!R6)</f>
        <v>0</v>
      </c>
      <c r="U7" s="281">
        <f>+IF('calcul de demande journalière'!T6=0,0,'calcul de demande journalière'!T6-'calcul de demande journalière'!S6)</f>
        <v>0</v>
      </c>
      <c r="V7" s="281">
        <f>+IF('calcul de demande journalière'!U6=0,0,'calcul de demande journalière'!U6-'calcul de demande journalière'!T6)</f>
        <v>0</v>
      </c>
      <c r="W7" s="281">
        <f>+IF('calcul de demande journalière'!V6=0,0,'calcul de demande journalière'!V6-'calcul de demande journalière'!U6)</f>
        <v>0</v>
      </c>
      <c r="X7" s="281">
        <f>+IF('calcul de demande journalière'!W6=0,0,'calcul de demande journalière'!W6-'calcul de demande journalière'!V6)</f>
        <v>0</v>
      </c>
      <c r="Y7" s="281">
        <f>+IF('calcul de demande journalière'!X6=0,0,'calcul de demande journalière'!X6-'calcul de demande journalière'!W6)</f>
        <v>0</v>
      </c>
      <c r="Z7" s="281">
        <f>+IF('calcul de demande journalière'!Y6=0,0,'calcul de demande journalière'!Y6-'calcul de demande journalière'!X6)</f>
        <v>0</v>
      </c>
      <c r="AA7" s="281">
        <f>+IF('calcul de demande journalière'!Z6=0,0,'calcul de demande journalière'!Z6-'calcul de demande journalière'!Y6)</f>
        <v>0</v>
      </c>
      <c r="AB7" s="281">
        <f>+IF('calcul de demande journalière'!AA6=0,0,'calcul de demande journalière'!AA6-'calcul de demande journalière'!Z6)</f>
        <v>0</v>
      </c>
    </row>
    <row r="8" spans="1:28" s="272" customFormat="1" ht="28.2" x14ac:dyDescent="0.3">
      <c r="A8" s="278" t="s">
        <v>145</v>
      </c>
      <c r="B8" s="279" t="s">
        <v>154</v>
      </c>
      <c r="C8" s="280"/>
      <c r="D8" s="281">
        <f>+'calcul de demande journalière'!C7</f>
        <v>5</v>
      </c>
      <c r="E8" s="281">
        <f>+IF('calcul de demande journalière'!D7=0,0,'calcul de demande journalière'!D7-'calcul de demande journalière'!C7)</f>
        <v>0</v>
      </c>
      <c r="F8" s="281">
        <f>+IF('calcul de demande journalière'!E7=0,0,'calcul de demande journalière'!E7-'calcul de demande journalière'!D7)</f>
        <v>0</v>
      </c>
      <c r="G8" s="281">
        <f>+IF('calcul de demande journalière'!F7=0,0,'calcul de demande journalière'!F7-'calcul de demande journalière'!E7)</f>
        <v>0</v>
      </c>
      <c r="H8" s="281">
        <f>+IF('calcul de demande journalière'!G7=0,0,'calcul de demande journalière'!G7-'calcul de demande journalière'!F7)</f>
        <v>0</v>
      </c>
      <c r="I8" s="281">
        <f>+IF('calcul de demande journalière'!H7=0,0,'calcul de demande journalière'!H7-'calcul de demande journalière'!G7)</f>
        <v>0</v>
      </c>
      <c r="J8" s="281">
        <f>+IF('calcul de demande journalière'!I7=0,0,'calcul de demande journalière'!I7-'calcul de demande journalière'!H7)</f>
        <v>0</v>
      </c>
      <c r="K8" s="281">
        <f>+IF('calcul de demande journalière'!J7=0,0,'calcul de demande journalière'!J7-'calcul de demande journalière'!I7)</f>
        <v>0</v>
      </c>
      <c r="L8" s="281">
        <f>+IF('calcul de demande journalière'!K7=0,0,'calcul de demande journalière'!K7-'calcul de demande journalière'!J7)</f>
        <v>0</v>
      </c>
      <c r="M8" s="281">
        <f>+IF('calcul de demande journalière'!L7=0,0,'calcul de demande journalière'!L7-'calcul de demande journalière'!K7)</f>
        <v>0</v>
      </c>
      <c r="N8" s="281">
        <f>+IF('calcul de demande journalière'!M7=0,0,'calcul de demande journalière'!M7-'calcul de demande journalière'!L7)</f>
        <v>0</v>
      </c>
      <c r="O8" s="281">
        <f>+IF('calcul de demande journalière'!N7=0,0,'calcul de demande journalière'!N7-'calcul de demande journalière'!M7)</f>
        <v>0</v>
      </c>
      <c r="P8" s="281">
        <f>+IF('calcul de demande journalière'!O7=0,0,'calcul de demande journalière'!O7-'calcul de demande journalière'!N7)</f>
        <v>0</v>
      </c>
      <c r="Q8" s="281">
        <f>+IF('calcul de demande journalière'!P7=0,0,'calcul de demande journalière'!P7-'calcul de demande journalière'!O7)</f>
        <v>0</v>
      </c>
      <c r="R8" s="281">
        <f>+IF('calcul de demande journalière'!Q7=0,0,'calcul de demande journalière'!Q7-'calcul de demande journalière'!P7)</f>
        <v>0</v>
      </c>
      <c r="S8" s="281">
        <f>+IF('calcul de demande journalière'!R7=0,0,'calcul de demande journalière'!R7-'calcul de demande journalière'!Q7)</f>
        <v>0</v>
      </c>
      <c r="T8" s="281">
        <f>+IF('calcul de demande journalière'!S7=0,0,'calcul de demande journalière'!S7-'calcul de demande journalière'!R7)</f>
        <v>0</v>
      </c>
      <c r="U8" s="281">
        <f>+IF('calcul de demande journalière'!T7=0,0,'calcul de demande journalière'!T7-'calcul de demande journalière'!S7)</f>
        <v>0</v>
      </c>
      <c r="V8" s="281">
        <f>+IF('calcul de demande journalière'!U7=0,0,'calcul de demande journalière'!U7-'calcul de demande journalière'!T7)</f>
        <v>0</v>
      </c>
      <c r="W8" s="281">
        <f>+IF('calcul de demande journalière'!V7=0,0,'calcul de demande journalière'!V7-'calcul de demande journalière'!U7)</f>
        <v>0</v>
      </c>
      <c r="X8" s="281">
        <f>+IF('calcul de demande journalière'!W7=0,0,'calcul de demande journalière'!W7-'calcul de demande journalière'!V7)</f>
        <v>0</v>
      </c>
      <c r="Y8" s="281">
        <f>+IF('calcul de demande journalière'!X7=0,0,'calcul de demande journalière'!X7-'calcul de demande journalière'!W7)</f>
        <v>0</v>
      </c>
      <c r="Z8" s="281">
        <f>+IF('calcul de demande journalière'!Y7=0,0,'calcul de demande journalière'!Y7-'calcul de demande journalière'!X7)</f>
        <v>0</v>
      </c>
      <c r="AA8" s="281">
        <f>+IF('calcul de demande journalière'!Z7=0,0,'calcul de demande journalière'!Z7-'calcul de demande journalière'!Y7)</f>
        <v>0</v>
      </c>
      <c r="AB8" s="281">
        <f>+IF('calcul de demande journalière'!AA7=0,0,'calcul de demande journalière'!AA7-'calcul de demande journalière'!Z7)</f>
        <v>0</v>
      </c>
    </row>
    <row r="9" spans="1:28" s="272" customFormat="1" ht="28.2" x14ac:dyDescent="0.3">
      <c r="A9" s="282" t="s">
        <v>112</v>
      </c>
      <c r="B9" s="274" t="s">
        <v>154</v>
      </c>
      <c r="C9" s="283">
        <f>SUM(C4:C8)</f>
        <v>0</v>
      </c>
      <c r="D9" s="283">
        <f>SUM(D4:D8)</f>
        <v>115</v>
      </c>
      <c r="E9" s="283">
        <f t="shared" ref="E9:AB9" si="1">SUM(E4:E8)</f>
        <v>0</v>
      </c>
      <c r="F9" s="283">
        <f t="shared" si="1"/>
        <v>0</v>
      </c>
      <c r="G9" s="283">
        <f t="shared" si="1"/>
        <v>0</v>
      </c>
      <c r="H9" s="283">
        <f t="shared" si="1"/>
        <v>0</v>
      </c>
      <c r="I9" s="283">
        <f t="shared" si="1"/>
        <v>0</v>
      </c>
      <c r="J9" s="283">
        <f t="shared" si="1"/>
        <v>0</v>
      </c>
      <c r="K9" s="283">
        <f t="shared" si="1"/>
        <v>0</v>
      </c>
      <c r="L9" s="283">
        <f t="shared" si="1"/>
        <v>0</v>
      </c>
      <c r="M9" s="283">
        <f t="shared" si="1"/>
        <v>0</v>
      </c>
      <c r="N9" s="283">
        <f t="shared" si="1"/>
        <v>0</v>
      </c>
      <c r="O9" s="283">
        <f t="shared" si="1"/>
        <v>0</v>
      </c>
      <c r="P9" s="283">
        <f t="shared" si="1"/>
        <v>0</v>
      </c>
      <c r="Q9" s="283">
        <f t="shared" si="1"/>
        <v>0</v>
      </c>
      <c r="R9" s="283">
        <f t="shared" si="1"/>
        <v>0</v>
      </c>
      <c r="S9" s="283">
        <f t="shared" si="1"/>
        <v>0</v>
      </c>
      <c r="T9" s="283">
        <f t="shared" si="1"/>
        <v>0</v>
      </c>
      <c r="U9" s="283">
        <f t="shared" si="1"/>
        <v>0</v>
      </c>
      <c r="V9" s="283">
        <f t="shared" si="1"/>
        <v>0</v>
      </c>
      <c r="W9" s="283">
        <f t="shared" si="1"/>
        <v>0</v>
      </c>
      <c r="X9" s="283">
        <f t="shared" si="1"/>
        <v>0</v>
      </c>
      <c r="Y9" s="283">
        <f t="shared" si="1"/>
        <v>0</v>
      </c>
      <c r="Z9" s="283">
        <f t="shared" si="1"/>
        <v>0</v>
      </c>
      <c r="AA9" s="283">
        <f t="shared" si="1"/>
        <v>0</v>
      </c>
      <c r="AB9" s="283">
        <f t="shared" si="1"/>
        <v>0</v>
      </c>
    </row>
    <row r="10" spans="1:28" s="272" customFormat="1" ht="27.6" x14ac:dyDescent="0.3">
      <c r="A10" s="284"/>
      <c r="B10" s="285" t="s">
        <v>110</v>
      </c>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row>
    <row r="11" spans="1:28" s="272" customFormat="1" ht="27.6" x14ac:dyDescent="0.3">
      <c r="A11" s="287" t="s">
        <v>359</v>
      </c>
      <c r="B11" s="279" t="s">
        <v>310</v>
      </c>
      <c r="C11" s="274">
        <v>0</v>
      </c>
      <c r="D11" s="274">
        <v>1</v>
      </c>
      <c r="E11" s="274">
        <f t="shared" ref="E11" si="2">D11+1</f>
        <v>2</v>
      </c>
      <c r="F11" s="274">
        <f t="shared" ref="F11" si="3">E11+1</f>
        <v>3</v>
      </c>
      <c r="G11" s="274">
        <f t="shared" ref="G11" si="4">F11+1</f>
        <v>4</v>
      </c>
      <c r="H11" s="274">
        <f t="shared" ref="H11" si="5">G11+1</f>
        <v>5</v>
      </c>
      <c r="I11" s="274">
        <f t="shared" ref="I11" si="6">H11+1</f>
        <v>6</v>
      </c>
      <c r="J11" s="274">
        <f t="shared" ref="J11" si="7">I11+1</f>
        <v>7</v>
      </c>
      <c r="K11" s="274">
        <f t="shared" ref="K11" si="8">J11+1</f>
        <v>8</v>
      </c>
      <c r="L11" s="274">
        <f t="shared" ref="L11" si="9">K11+1</f>
        <v>9</v>
      </c>
      <c r="M11" s="274">
        <f t="shared" ref="M11" si="10">L11+1</f>
        <v>10</v>
      </c>
      <c r="N11" s="274">
        <f t="shared" ref="N11" si="11">M11+1</f>
        <v>11</v>
      </c>
      <c r="O11" s="274">
        <f t="shared" ref="O11" si="12">N11+1</f>
        <v>12</v>
      </c>
      <c r="P11" s="274">
        <f t="shared" ref="P11" si="13">O11+1</f>
        <v>13</v>
      </c>
      <c r="Q11" s="274">
        <f t="shared" ref="Q11" si="14">P11+1</f>
        <v>14</v>
      </c>
      <c r="R11" s="274">
        <f t="shared" ref="R11" si="15">Q11+1</f>
        <v>15</v>
      </c>
      <c r="S11" s="274">
        <f t="shared" ref="S11" si="16">R11+1</f>
        <v>16</v>
      </c>
      <c r="T11" s="274">
        <f t="shared" ref="T11" si="17">S11+1</f>
        <v>17</v>
      </c>
      <c r="U11" s="274">
        <f t="shared" ref="U11" si="18">T11+1</f>
        <v>18</v>
      </c>
      <c r="V11" s="274">
        <f t="shared" ref="V11" si="19">U11+1</f>
        <v>19</v>
      </c>
      <c r="W11" s="274">
        <f t="shared" ref="W11" si="20">V11+1</f>
        <v>20</v>
      </c>
      <c r="X11" s="274">
        <f t="shared" ref="X11" si="21">W11+1</f>
        <v>21</v>
      </c>
      <c r="Y11" s="274">
        <f t="shared" ref="Y11" si="22">X11+1</f>
        <v>22</v>
      </c>
      <c r="Z11" s="274">
        <f t="shared" ref="Z11" si="23">Y11+1</f>
        <v>23</v>
      </c>
      <c r="AA11" s="274">
        <f t="shared" ref="AA11" si="24">Z11+1</f>
        <v>24</v>
      </c>
      <c r="AB11" s="274">
        <f t="shared" ref="AB11" si="25">AA11+1</f>
        <v>25</v>
      </c>
    </row>
    <row r="12" spans="1:28" s="272" customFormat="1" ht="27.6" x14ac:dyDescent="0.3">
      <c r="A12" s="288" t="s">
        <v>311</v>
      </c>
      <c r="B12" s="279" t="s">
        <v>310</v>
      </c>
      <c r="C12" s="289"/>
      <c r="D12" s="255">
        <f>'calcul de demande journalière'!C12*30*12</f>
        <v>72</v>
      </c>
      <c r="E12" s="255"/>
      <c r="F12" s="255"/>
      <c r="G12" s="255"/>
      <c r="H12" s="255"/>
      <c r="I12" s="255"/>
      <c r="J12" s="255"/>
      <c r="K12" s="255"/>
      <c r="L12" s="255"/>
      <c r="M12" s="255"/>
      <c r="N12" s="255"/>
      <c r="O12" s="255"/>
      <c r="P12" s="255"/>
      <c r="Q12" s="255"/>
      <c r="R12" s="255"/>
      <c r="S12" s="255"/>
      <c r="T12" s="255"/>
      <c r="U12" s="255"/>
      <c r="V12" s="255"/>
      <c r="W12" s="255"/>
      <c r="X12" s="255"/>
      <c r="Y12" s="255"/>
      <c r="Z12" s="255"/>
      <c r="AA12" s="255"/>
      <c r="AB12" s="255"/>
    </row>
    <row r="13" spans="1:28" s="272" customFormat="1" ht="27.6" x14ac:dyDescent="0.3">
      <c r="A13" s="288" t="s">
        <v>312</v>
      </c>
      <c r="B13" s="279" t="s">
        <v>310</v>
      </c>
      <c r="C13" s="289"/>
      <c r="D13" s="255">
        <f>'calcul de demande journalière'!C13*30*12</f>
        <v>180</v>
      </c>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row>
    <row r="14" spans="1:28" s="272" customFormat="1" ht="27.6" x14ac:dyDescent="0.3">
      <c r="A14" s="288" t="s">
        <v>313</v>
      </c>
      <c r="B14" s="279" t="s">
        <v>310</v>
      </c>
      <c r="C14" s="289"/>
      <c r="D14" s="255">
        <f>'calcul de demande journalière'!C14*30*12</f>
        <v>421.19999999999993</v>
      </c>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row>
    <row r="15" spans="1:28" s="272" customFormat="1" ht="27.6" x14ac:dyDescent="0.3">
      <c r="A15" s="288" t="s">
        <v>314</v>
      </c>
      <c r="B15" s="279" t="s">
        <v>310</v>
      </c>
      <c r="C15" s="289"/>
      <c r="D15" s="255">
        <f>'calcul de demande journalière'!C15*30*12</f>
        <v>838.80000000000007</v>
      </c>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row>
    <row r="16" spans="1:28" s="272" customFormat="1" ht="27.6" x14ac:dyDescent="0.3">
      <c r="A16" s="288" t="s">
        <v>315</v>
      </c>
      <c r="B16" s="279" t="s">
        <v>310</v>
      </c>
      <c r="C16" s="289"/>
      <c r="D16" s="255">
        <f>'calcul de demande journalière'!C16*30*12</f>
        <v>1800</v>
      </c>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row>
    <row r="17" spans="1:28" s="272" customFormat="1" x14ac:dyDescent="0.3">
      <c r="A17" s="290"/>
      <c r="B17" s="291"/>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row>
    <row r="18" spans="1:28" s="272" customFormat="1" x14ac:dyDescent="0.3">
      <c r="A18" s="290"/>
      <c r="B18" s="291"/>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row>
    <row r="19" spans="1:28" s="272" customFormat="1" x14ac:dyDescent="0.3">
      <c r="A19" s="287" t="s">
        <v>360</v>
      </c>
      <c r="B19" s="291" t="s">
        <v>116</v>
      </c>
      <c r="C19" s="274">
        <v>0</v>
      </c>
      <c r="D19" s="274">
        <v>1</v>
      </c>
      <c r="E19" s="274">
        <f t="shared" ref="E19" si="26">D19+1</f>
        <v>2</v>
      </c>
      <c r="F19" s="274">
        <f t="shared" ref="F19" si="27">E19+1</f>
        <v>3</v>
      </c>
      <c r="G19" s="274">
        <f t="shared" ref="G19" si="28">F19+1</f>
        <v>4</v>
      </c>
      <c r="H19" s="274">
        <f t="shared" ref="H19" si="29">G19+1</f>
        <v>5</v>
      </c>
      <c r="I19" s="274">
        <f t="shared" ref="I19" si="30">H19+1</f>
        <v>6</v>
      </c>
      <c r="J19" s="274">
        <f t="shared" ref="J19" si="31">I19+1</f>
        <v>7</v>
      </c>
      <c r="K19" s="274">
        <f t="shared" ref="K19" si="32">J19+1</f>
        <v>8</v>
      </c>
      <c r="L19" s="274">
        <f t="shared" ref="L19" si="33">K19+1</f>
        <v>9</v>
      </c>
      <c r="M19" s="274">
        <f t="shared" ref="M19" si="34">L19+1</f>
        <v>10</v>
      </c>
      <c r="N19" s="274">
        <f t="shared" ref="N19" si="35">M19+1</f>
        <v>11</v>
      </c>
      <c r="O19" s="274">
        <f t="shared" ref="O19" si="36">N19+1</f>
        <v>12</v>
      </c>
      <c r="P19" s="274">
        <f t="shared" ref="P19" si="37">O19+1</f>
        <v>13</v>
      </c>
      <c r="Q19" s="274">
        <f t="shared" ref="Q19" si="38">P19+1</f>
        <v>14</v>
      </c>
      <c r="R19" s="274">
        <f t="shared" ref="R19" si="39">Q19+1</f>
        <v>15</v>
      </c>
      <c r="S19" s="274">
        <f t="shared" ref="S19" si="40">R19+1</f>
        <v>16</v>
      </c>
      <c r="T19" s="274">
        <f t="shared" ref="T19" si="41">S19+1</f>
        <v>17</v>
      </c>
      <c r="U19" s="274">
        <f t="shared" ref="U19" si="42">T19+1</f>
        <v>18</v>
      </c>
      <c r="V19" s="274">
        <f t="shared" ref="V19" si="43">U19+1</f>
        <v>19</v>
      </c>
      <c r="W19" s="274">
        <f t="shared" ref="W19" si="44">V19+1</f>
        <v>20</v>
      </c>
      <c r="X19" s="274">
        <f t="shared" ref="X19" si="45">W19+1</f>
        <v>21</v>
      </c>
      <c r="Y19" s="274">
        <f t="shared" ref="Y19" si="46">X19+1</f>
        <v>22</v>
      </c>
      <c r="Z19" s="274">
        <f t="shared" ref="Z19" si="47">Y19+1</f>
        <v>23</v>
      </c>
      <c r="AA19" s="274">
        <f t="shared" ref="AA19" si="48">Z19+1</f>
        <v>24</v>
      </c>
      <c r="AB19" s="274">
        <f t="shared" ref="AB19" si="49">AA19+1</f>
        <v>25</v>
      </c>
    </row>
    <row r="20" spans="1:28" s="272" customFormat="1" ht="27.6" x14ac:dyDescent="0.3">
      <c r="A20" s="288" t="s">
        <v>148</v>
      </c>
      <c r="B20" s="279" t="s">
        <v>116</v>
      </c>
      <c r="C20" s="289"/>
      <c r="D20" s="281">
        <f>+D12*D4</f>
        <v>1440</v>
      </c>
      <c r="E20" s="281">
        <f>+E12*'calcul de demande journalière'!D3</f>
        <v>0</v>
      </c>
      <c r="F20" s="281">
        <f>+F12*'calcul de demande journalière'!E3</f>
        <v>0</v>
      </c>
      <c r="G20" s="281">
        <f>+G12*'calcul de demande journalière'!F3</f>
        <v>0</v>
      </c>
      <c r="H20" s="281">
        <f>+H12*'calcul de demande journalière'!G3</f>
        <v>0</v>
      </c>
      <c r="I20" s="281">
        <f>+I12*'calcul de demande journalière'!H3</f>
        <v>0</v>
      </c>
      <c r="J20" s="281">
        <f>+J12*'calcul de demande journalière'!I3</f>
        <v>0</v>
      </c>
      <c r="K20" s="281">
        <f>+K12*'calcul de demande journalière'!J3</f>
        <v>0</v>
      </c>
      <c r="L20" s="281">
        <f>+L12*'calcul de demande journalière'!K3</f>
        <v>0</v>
      </c>
      <c r="M20" s="281">
        <f>+M12*'calcul de demande journalière'!L3</f>
        <v>0</v>
      </c>
      <c r="N20" s="281">
        <f>+N12*'calcul de demande journalière'!M3</f>
        <v>0</v>
      </c>
      <c r="O20" s="281">
        <f>+O12*'calcul de demande journalière'!N3</f>
        <v>0</v>
      </c>
      <c r="P20" s="281">
        <f>+P12*'calcul de demande journalière'!O3</f>
        <v>0</v>
      </c>
      <c r="Q20" s="281">
        <f>+Q12*'calcul de demande journalière'!P3</f>
        <v>0</v>
      </c>
      <c r="R20" s="281">
        <f>+R12*'calcul de demande journalière'!Q3</f>
        <v>0</v>
      </c>
      <c r="S20" s="281">
        <f>+S12*'calcul de demande journalière'!R3</f>
        <v>0</v>
      </c>
      <c r="T20" s="281">
        <f>+T12*'calcul de demande journalière'!S3</f>
        <v>0</v>
      </c>
      <c r="U20" s="281">
        <f>+U12*'calcul de demande journalière'!T3</f>
        <v>0</v>
      </c>
      <c r="V20" s="281">
        <f>+V12*'calcul de demande journalière'!U3</f>
        <v>0</v>
      </c>
      <c r="W20" s="281">
        <f>+W12*'calcul de demande journalière'!V3</f>
        <v>0</v>
      </c>
      <c r="X20" s="281">
        <f>+X12*'calcul de demande journalière'!W3</f>
        <v>0</v>
      </c>
      <c r="Y20" s="281">
        <f>+Y12*'calcul de demande journalière'!X3</f>
        <v>0</v>
      </c>
      <c r="Z20" s="281">
        <f>+Z12*'calcul de demande journalière'!Y3</f>
        <v>0</v>
      </c>
      <c r="AA20" s="281">
        <f>+AA12*'calcul de demande journalière'!Z3</f>
        <v>0</v>
      </c>
      <c r="AB20" s="281">
        <f>+AB12*'calcul de demande journalière'!AA3</f>
        <v>0</v>
      </c>
    </row>
    <row r="21" spans="1:28" s="272" customFormat="1" ht="27.6" x14ac:dyDescent="0.3">
      <c r="A21" s="288" t="s">
        <v>142</v>
      </c>
      <c r="B21" s="279" t="s">
        <v>116</v>
      </c>
      <c r="C21" s="289"/>
      <c r="D21" s="281">
        <f t="shared" ref="D21:D24" si="50">+D13*D5</f>
        <v>6300</v>
      </c>
      <c r="E21" s="281">
        <f>+E13*'calcul de demande journalière'!D4</f>
        <v>0</v>
      </c>
      <c r="F21" s="281">
        <f>+F13*'calcul de demande journalière'!E4</f>
        <v>0</v>
      </c>
      <c r="G21" s="281">
        <f>+G13*'calcul de demande journalière'!F4</f>
        <v>0</v>
      </c>
      <c r="H21" s="281">
        <f>+H13*'calcul de demande journalière'!G4</f>
        <v>0</v>
      </c>
      <c r="I21" s="281">
        <f>+I13*'calcul de demande journalière'!H4</f>
        <v>0</v>
      </c>
      <c r="J21" s="281">
        <f>+J13*'calcul de demande journalière'!I4</f>
        <v>0</v>
      </c>
      <c r="K21" s="281">
        <f>+K13*'calcul de demande journalière'!J4</f>
        <v>0</v>
      </c>
      <c r="L21" s="281">
        <f>+L13*'calcul de demande journalière'!K4</f>
        <v>0</v>
      </c>
      <c r="M21" s="281">
        <f>+M13*'calcul de demande journalière'!L4</f>
        <v>0</v>
      </c>
      <c r="N21" s="281">
        <f>+N13*'calcul de demande journalière'!M4</f>
        <v>0</v>
      </c>
      <c r="O21" s="281">
        <f>+O13*'calcul de demande journalière'!N4</f>
        <v>0</v>
      </c>
      <c r="P21" s="281">
        <f>+P13*'calcul de demande journalière'!O4</f>
        <v>0</v>
      </c>
      <c r="Q21" s="281">
        <f>+Q13*'calcul de demande journalière'!P4</f>
        <v>0</v>
      </c>
      <c r="R21" s="281">
        <f>+R13*'calcul de demande journalière'!Q4</f>
        <v>0</v>
      </c>
      <c r="S21" s="281">
        <f>+S13*'calcul de demande journalière'!R4</f>
        <v>0</v>
      </c>
      <c r="T21" s="281">
        <f>+T13*'calcul de demande journalière'!S4</f>
        <v>0</v>
      </c>
      <c r="U21" s="281">
        <f>+U13*'calcul de demande journalière'!T4</f>
        <v>0</v>
      </c>
      <c r="V21" s="281">
        <f>+V13*'calcul de demande journalière'!U4</f>
        <v>0</v>
      </c>
      <c r="W21" s="281">
        <f>+W13*'calcul de demande journalière'!V4</f>
        <v>0</v>
      </c>
      <c r="X21" s="281">
        <f>+X13*'calcul de demande journalière'!W4</f>
        <v>0</v>
      </c>
      <c r="Y21" s="281">
        <f>+Y13*'calcul de demande journalière'!X4</f>
        <v>0</v>
      </c>
      <c r="Z21" s="281">
        <f>+Z13*'calcul de demande journalière'!Y4</f>
        <v>0</v>
      </c>
      <c r="AA21" s="281">
        <f>+AA13*'calcul de demande journalière'!Z4</f>
        <v>0</v>
      </c>
      <c r="AB21" s="281">
        <f>+AB13*'calcul de demande journalière'!AA4</f>
        <v>0</v>
      </c>
    </row>
    <row r="22" spans="1:28" s="272" customFormat="1" ht="27.6" x14ac:dyDescent="0.3">
      <c r="A22" s="288" t="s">
        <v>143</v>
      </c>
      <c r="B22" s="279" t="s">
        <v>116</v>
      </c>
      <c r="C22" s="289"/>
      <c r="D22" s="281">
        <f t="shared" si="50"/>
        <v>14741.999999999998</v>
      </c>
      <c r="E22" s="281">
        <f>+E14*'calcul de demande journalière'!D5</f>
        <v>0</v>
      </c>
      <c r="F22" s="281">
        <f>+F14*'calcul de demande journalière'!E5</f>
        <v>0</v>
      </c>
      <c r="G22" s="281">
        <f>+G14*'calcul de demande journalière'!F5</f>
        <v>0</v>
      </c>
      <c r="H22" s="281">
        <f>+H14*'calcul de demande journalière'!G5</f>
        <v>0</v>
      </c>
      <c r="I22" s="281">
        <f>+I14*'calcul de demande journalière'!H5</f>
        <v>0</v>
      </c>
      <c r="J22" s="281">
        <f>+J14*'calcul de demande journalière'!I5</f>
        <v>0</v>
      </c>
      <c r="K22" s="281">
        <f>+K14*'calcul de demande journalière'!J5</f>
        <v>0</v>
      </c>
      <c r="L22" s="281">
        <f>+L14*'calcul de demande journalière'!K5</f>
        <v>0</v>
      </c>
      <c r="M22" s="281">
        <f>+M14*'calcul de demande journalière'!L5</f>
        <v>0</v>
      </c>
      <c r="N22" s="281">
        <f>+N14*'calcul de demande journalière'!M5</f>
        <v>0</v>
      </c>
      <c r="O22" s="281">
        <f>+O14*'calcul de demande journalière'!N5</f>
        <v>0</v>
      </c>
      <c r="P22" s="281">
        <f>+P14*'calcul de demande journalière'!O5</f>
        <v>0</v>
      </c>
      <c r="Q22" s="281">
        <f>+Q14*'calcul de demande journalière'!P5</f>
        <v>0</v>
      </c>
      <c r="R22" s="281">
        <f>+R14*'calcul de demande journalière'!Q5</f>
        <v>0</v>
      </c>
      <c r="S22" s="281">
        <f>+S14*'calcul de demande journalière'!R5</f>
        <v>0</v>
      </c>
      <c r="T22" s="281">
        <f>+T14*'calcul de demande journalière'!S5</f>
        <v>0</v>
      </c>
      <c r="U22" s="281">
        <f>+U14*'calcul de demande journalière'!T5</f>
        <v>0</v>
      </c>
      <c r="V22" s="281">
        <f>+V14*'calcul de demande journalière'!U5</f>
        <v>0</v>
      </c>
      <c r="W22" s="281">
        <f>+W14*'calcul de demande journalière'!V5</f>
        <v>0</v>
      </c>
      <c r="X22" s="281">
        <f>+X14*'calcul de demande journalière'!W5</f>
        <v>0</v>
      </c>
      <c r="Y22" s="281">
        <f>+Y14*'calcul de demande journalière'!X5</f>
        <v>0</v>
      </c>
      <c r="Z22" s="281">
        <f>+Z14*'calcul de demande journalière'!Y5</f>
        <v>0</v>
      </c>
      <c r="AA22" s="281">
        <f>+AA14*'calcul de demande journalière'!Z5</f>
        <v>0</v>
      </c>
      <c r="AB22" s="281">
        <f>+AB14*'calcul de demande journalière'!AA5</f>
        <v>0</v>
      </c>
    </row>
    <row r="23" spans="1:28" s="272" customFormat="1" ht="27.6" x14ac:dyDescent="0.3">
      <c r="A23" s="288" t="s">
        <v>146</v>
      </c>
      <c r="B23" s="279" t="s">
        <v>116</v>
      </c>
      <c r="C23" s="289"/>
      <c r="D23" s="281">
        <f t="shared" si="50"/>
        <v>16776</v>
      </c>
      <c r="E23" s="281">
        <f>+E15*'calcul de demande journalière'!D6</f>
        <v>0</v>
      </c>
      <c r="F23" s="281">
        <f>+F15*'calcul de demande journalière'!E6</f>
        <v>0</v>
      </c>
      <c r="G23" s="281">
        <f>+G15*'calcul de demande journalière'!F6</f>
        <v>0</v>
      </c>
      <c r="H23" s="281">
        <f>+H15*'calcul de demande journalière'!G6</f>
        <v>0</v>
      </c>
      <c r="I23" s="281">
        <f>+I15*'calcul de demande journalière'!H6</f>
        <v>0</v>
      </c>
      <c r="J23" s="281">
        <f>+J15*'calcul de demande journalière'!I6</f>
        <v>0</v>
      </c>
      <c r="K23" s="281">
        <f>+K15*'calcul de demande journalière'!J6</f>
        <v>0</v>
      </c>
      <c r="L23" s="281">
        <f>+L15*'calcul de demande journalière'!K6</f>
        <v>0</v>
      </c>
      <c r="M23" s="281">
        <f>+M15*'calcul de demande journalière'!L6</f>
        <v>0</v>
      </c>
      <c r="N23" s="281">
        <f>+N15*'calcul de demande journalière'!M6</f>
        <v>0</v>
      </c>
      <c r="O23" s="281">
        <f>+O15*'calcul de demande journalière'!N6</f>
        <v>0</v>
      </c>
      <c r="P23" s="281">
        <f>+P15*'calcul de demande journalière'!O6</f>
        <v>0</v>
      </c>
      <c r="Q23" s="281">
        <f>+Q15*'calcul de demande journalière'!P6</f>
        <v>0</v>
      </c>
      <c r="R23" s="281">
        <f>+R15*'calcul de demande journalière'!Q6</f>
        <v>0</v>
      </c>
      <c r="S23" s="281">
        <f>+S15*'calcul de demande journalière'!R6</f>
        <v>0</v>
      </c>
      <c r="T23" s="281">
        <f>+T15*'calcul de demande journalière'!S6</f>
        <v>0</v>
      </c>
      <c r="U23" s="281">
        <f>+U15*'calcul de demande journalière'!T6</f>
        <v>0</v>
      </c>
      <c r="V23" s="281">
        <f>+V15*'calcul de demande journalière'!U6</f>
        <v>0</v>
      </c>
      <c r="W23" s="281">
        <f>+W15*'calcul de demande journalière'!V6</f>
        <v>0</v>
      </c>
      <c r="X23" s="281">
        <f>+X15*'calcul de demande journalière'!W6</f>
        <v>0</v>
      </c>
      <c r="Y23" s="281">
        <f>+Y15*'calcul de demande journalière'!X6</f>
        <v>0</v>
      </c>
      <c r="Z23" s="281">
        <f>+Z15*'calcul de demande journalière'!Y6</f>
        <v>0</v>
      </c>
      <c r="AA23" s="281">
        <f>+AA15*'calcul de demande journalière'!Z6</f>
        <v>0</v>
      </c>
      <c r="AB23" s="281">
        <f>+AB15*'calcul de demande journalière'!AA6</f>
        <v>0</v>
      </c>
    </row>
    <row r="24" spans="1:28" s="272" customFormat="1" ht="27.6" x14ac:dyDescent="0.3">
      <c r="A24" s="288" t="s">
        <v>147</v>
      </c>
      <c r="B24" s="279" t="s">
        <v>116</v>
      </c>
      <c r="C24" s="289"/>
      <c r="D24" s="281">
        <f t="shared" si="50"/>
        <v>9000</v>
      </c>
      <c r="E24" s="281">
        <f>+E16*'calcul de demande journalière'!D7</f>
        <v>0</v>
      </c>
      <c r="F24" s="281">
        <f>+F16*'calcul de demande journalière'!E7</f>
        <v>0</v>
      </c>
      <c r="G24" s="281">
        <f>+G16*'calcul de demande journalière'!F7</f>
        <v>0</v>
      </c>
      <c r="H24" s="281">
        <f>+H16*'calcul de demande journalière'!G7</f>
        <v>0</v>
      </c>
      <c r="I24" s="281">
        <f>+I16*'calcul de demande journalière'!H7</f>
        <v>0</v>
      </c>
      <c r="J24" s="281">
        <f>+J16*'calcul de demande journalière'!I7</f>
        <v>0</v>
      </c>
      <c r="K24" s="281">
        <f>+K16*'calcul de demande journalière'!J7</f>
        <v>0</v>
      </c>
      <c r="L24" s="281">
        <f>+L16*'calcul de demande journalière'!K7</f>
        <v>0</v>
      </c>
      <c r="M24" s="281">
        <f>+M16*'calcul de demande journalière'!L7</f>
        <v>0</v>
      </c>
      <c r="N24" s="281">
        <f>+N16*'calcul de demande journalière'!M7</f>
        <v>0</v>
      </c>
      <c r="O24" s="281">
        <f>+O16*'calcul de demande journalière'!N7</f>
        <v>0</v>
      </c>
      <c r="P24" s="281">
        <f>+P16*'calcul de demande journalière'!O7</f>
        <v>0</v>
      </c>
      <c r="Q24" s="281">
        <f>+Q16*'calcul de demande journalière'!P7</f>
        <v>0</v>
      </c>
      <c r="R24" s="281">
        <f>+R16*'calcul de demande journalière'!Q7</f>
        <v>0</v>
      </c>
      <c r="S24" s="281">
        <f>+S16*'calcul de demande journalière'!R7</f>
        <v>0</v>
      </c>
      <c r="T24" s="281">
        <f>+T16*'calcul de demande journalière'!S7</f>
        <v>0</v>
      </c>
      <c r="U24" s="281">
        <f>+U16*'calcul de demande journalière'!T7</f>
        <v>0</v>
      </c>
      <c r="V24" s="281">
        <f>+V16*'calcul de demande journalière'!U7</f>
        <v>0</v>
      </c>
      <c r="W24" s="281">
        <f>+W16*'calcul de demande journalière'!V7</f>
        <v>0</v>
      </c>
      <c r="X24" s="281">
        <f>+X16*'calcul de demande journalière'!W7</f>
        <v>0</v>
      </c>
      <c r="Y24" s="281">
        <f>+Y16*'calcul de demande journalière'!X7</f>
        <v>0</v>
      </c>
      <c r="Z24" s="281">
        <f>+Z16*'calcul de demande journalière'!Y7</f>
        <v>0</v>
      </c>
      <c r="AA24" s="281">
        <f>+AA16*'calcul de demande journalière'!Z7</f>
        <v>0</v>
      </c>
      <c r="AB24" s="281">
        <f>+AB16*'calcul de demande journalière'!AA7</f>
        <v>0</v>
      </c>
    </row>
    <row r="25" spans="1:28" s="272" customFormat="1" ht="27.6" x14ac:dyDescent="0.3">
      <c r="A25" s="287" t="s">
        <v>150</v>
      </c>
      <c r="B25" s="274" t="s">
        <v>116</v>
      </c>
      <c r="C25" s="283"/>
      <c r="D25" s="283">
        <f>SUM(D20:D24)</f>
        <v>48258</v>
      </c>
      <c r="E25" s="283">
        <f t="shared" ref="E25:AB25" si="51">SUM(E20:E24)</f>
        <v>0</v>
      </c>
      <c r="F25" s="283">
        <f t="shared" si="51"/>
        <v>0</v>
      </c>
      <c r="G25" s="283">
        <f t="shared" si="51"/>
        <v>0</v>
      </c>
      <c r="H25" s="283">
        <f t="shared" si="51"/>
        <v>0</v>
      </c>
      <c r="I25" s="283">
        <f t="shared" si="51"/>
        <v>0</v>
      </c>
      <c r="J25" s="283">
        <f t="shared" si="51"/>
        <v>0</v>
      </c>
      <c r="K25" s="283">
        <f t="shared" si="51"/>
        <v>0</v>
      </c>
      <c r="L25" s="283">
        <f t="shared" si="51"/>
        <v>0</v>
      </c>
      <c r="M25" s="283">
        <f t="shared" si="51"/>
        <v>0</v>
      </c>
      <c r="N25" s="283">
        <f t="shared" si="51"/>
        <v>0</v>
      </c>
      <c r="O25" s="283">
        <f t="shared" si="51"/>
        <v>0</v>
      </c>
      <c r="P25" s="283">
        <f t="shared" si="51"/>
        <v>0</v>
      </c>
      <c r="Q25" s="283">
        <f t="shared" si="51"/>
        <v>0</v>
      </c>
      <c r="R25" s="283">
        <f t="shared" si="51"/>
        <v>0</v>
      </c>
      <c r="S25" s="283">
        <f t="shared" si="51"/>
        <v>0</v>
      </c>
      <c r="T25" s="283">
        <f t="shared" si="51"/>
        <v>0</v>
      </c>
      <c r="U25" s="283">
        <f t="shared" si="51"/>
        <v>0</v>
      </c>
      <c r="V25" s="283">
        <f t="shared" si="51"/>
        <v>0</v>
      </c>
      <c r="W25" s="283">
        <f t="shared" si="51"/>
        <v>0</v>
      </c>
      <c r="X25" s="283">
        <f t="shared" si="51"/>
        <v>0</v>
      </c>
      <c r="Y25" s="283">
        <f t="shared" si="51"/>
        <v>0</v>
      </c>
      <c r="Z25" s="283">
        <f t="shared" si="51"/>
        <v>0</v>
      </c>
      <c r="AA25" s="283">
        <f t="shared" si="51"/>
        <v>0</v>
      </c>
      <c r="AB25" s="283">
        <f t="shared" si="51"/>
        <v>0</v>
      </c>
    </row>
    <row r="26" spans="1:28" s="272" customFormat="1" x14ac:dyDescent="0.3"/>
    <row r="27" spans="1:28" s="272" customFormat="1" ht="55.2" x14ac:dyDescent="0.3">
      <c r="A27" s="292" t="s">
        <v>308</v>
      </c>
      <c r="B27" s="293" t="s">
        <v>116</v>
      </c>
      <c r="C27" s="283"/>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row>
    <row r="28" spans="1:28" s="272" customFormat="1" x14ac:dyDescent="0.3">
      <c r="A28" s="273"/>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row>
    <row r="29" spans="1:28" s="272" customFormat="1" ht="28.2" x14ac:dyDescent="0.3">
      <c r="A29" s="294" t="s">
        <v>113</v>
      </c>
      <c r="B29" s="295" t="s">
        <v>114</v>
      </c>
      <c r="C29" s="273"/>
      <c r="D29" s="283">
        <f>SUM(D30:D31)</f>
        <v>0</v>
      </c>
      <c r="E29" s="283">
        <f t="shared" ref="E29:AB29" si="52">SUM(E30:E31)</f>
        <v>0</v>
      </c>
      <c r="F29" s="283">
        <f t="shared" si="52"/>
        <v>0</v>
      </c>
      <c r="G29" s="283">
        <f>SUM(G30:G31)</f>
        <v>0</v>
      </c>
      <c r="H29" s="283">
        <f t="shared" si="52"/>
        <v>0</v>
      </c>
      <c r="I29" s="283">
        <f t="shared" si="52"/>
        <v>0</v>
      </c>
      <c r="J29" s="283">
        <f t="shared" si="52"/>
        <v>0</v>
      </c>
      <c r="K29" s="283">
        <f t="shared" si="52"/>
        <v>0</v>
      </c>
      <c r="L29" s="283">
        <f t="shared" si="52"/>
        <v>0</v>
      </c>
      <c r="M29" s="283">
        <f t="shared" si="52"/>
        <v>0</v>
      </c>
      <c r="N29" s="283">
        <f t="shared" si="52"/>
        <v>0</v>
      </c>
      <c r="O29" s="283">
        <f t="shared" si="52"/>
        <v>0</v>
      </c>
      <c r="P29" s="283">
        <f t="shared" si="52"/>
        <v>0</v>
      </c>
      <c r="Q29" s="283">
        <f t="shared" si="52"/>
        <v>0</v>
      </c>
      <c r="R29" s="283">
        <f t="shared" si="52"/>
        <v>0</v>
      </c>
      <c r="S29" s="283">
        <f t="shared" si="52"/>
        <v>0</v>
      </c>
      <c r="T29" s="283">
        <f t="shared" si="52"/>
        <v>0</v>
      </c>
      <c r="U29" s="283">
        <f t="shared" si="52"/>
        <v>0</v>
      </c>
      <c r="V29" s="283">
        <f t="shared" si="52"/>
        <v>0</v>
      </c>
      <c r="W29" s="283">
        <f t="shared" si="52"/>
        <v>0</v>
      </c>
      <c r="X29" s="283">
        <f t="shared" si="52"/>
        <v>0</v>
      </c>
      <c r="Y29" s="283">
        <f t="shared" si="52"/>
        <v>0</v>
      </c>
      <c r="Z29" s="283">
        <f t="shared" si="52"/>
        <v>0</v>
      </c>
      <c r="AA29" s="283">
        <f t="shared" si="52"/>
        <v>0</v>
      </c>
      <c r="AB29" s="283">
        <f t="shared" si="52"/>
        <v>0</v>
      </c>
    </row>
    <row r="30" spans="1:28" s="272" customFormat="1" x14ac:dyDescent="0.3">
      <c r="A30" s="296" t="s">
        <v>115</v>
      </c>
      <c r="B30" s="297" t="s">
        <v>116</v>
      </c>
      <c r="C30" s="298"/>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row>
    <row r="31" spans="1:28" s="272" customFormat="1" x14ac:dyDescent="0.3">
      <c r="A31" s="300" t="s">
        <v>117</v>
      </c>
      <c r="B31" s="301" t="s">
        <v>116</v>
      </c>
      <c r="C31" s="28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row>
    <row r="32" spans="1:28" s="272" customFormat="1" x14ac:dyDescent="0.3">
      <c r="A32" s="294" t="s">
        <v>151</v>
      </c>
      <c r="B32" s="295"/>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row>
    <row r="33" spans="1:28" s="272" customFormat="1" ht="28.2" x14ac:dyDescent="0.3">
      <c r="A33" s="296" t="s">
        <v>309</v>
      </c>
      <c r="B33" s="279" t="s">
        <v>116</v>
      </c>
      <c r="C33" s="28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row>
    <row r="34" spans="1:28" s="272" customFormat="1" x14ac:dyDescent="0.3">
      <c r="A34" s="273"/>
      <c r="B34" s="302"/>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row>
    <row r="35" spans="1:28" s="272" customFormat="1" x14ac:dyDescent="0.3">
      <c r="A35" s="330" t="s">
        <v>118</v>
      </c>
      <c r="B35" s="330"/>
      <c r="C35" s="330"/>
      <c r="D35" s="330"/>
      <c r="E35" s="330"/>
      <c r="F35" s="330"/>
      <c r="G35" s="273"/>
      <c r="H35" s="273"/>
      <c r="I35" s="273"/>
      <c r="J35" s="273"/>
      <c r="K35" s="273"/>
      <c r="L35" s="273"/>
      <c r="M35" s="273"/>
      <c r="N35" s="273"/>
      <c r="O35" s="273"/>
      <c r="P35" s="273"/>
      <c r="Q35" s="273"/>
      <c r="R35" s="273"/>
      <c r="S35" s="273"/>
      <c r="T35" s="273"/>
      <c r="U35" s="273"/>
      <c r="V35" s="273"/>
      <c r="W35" s="273"/>
      <c r="X35" s="273"/>
      <c r="Y35" s="273"/>
      <c r="Z35" s="273"/>
      <c r="AA35" s="273"/>
      <c r="AB35" s="273"/>
    </row>
    <row r="36" spans="1:28" s="272" customFormat="1" ht="27.6" x14ac:dyDescent="0.3">
      <c r="A36" s="303" t="s">
        <v>119</v>
      </c>
      <c r="B36" s="304" t="s">
        <v>153</v>
      </c>
      <c r="C36" s="305"/>
      <c r="D36" s="299">
        <v>20</v>
      </c>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row>
    <row r="37" spans="1:28" s="272" customFormat="1" ht="27.6" x14ac:dyDescent="0.3">
      <c r="A37" s="303" t="s">
        <v>120</v>
      </c>
      <c r="B37" s="304" t="s">
        <v>153</v>
      </c>
      <c r="C37" s="305"/>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row>
    <row r="38" spans="1:28" s="272" customFormat="1" ht="27.6" x14ac:dyDescent="0.3">
      <c r="A38" s="303" t="s">
        <v>121</v>
      </c>
      <c r="B38" s="304" t="s">
        <v>153</v>
      </c>
      <c r="C38" s="305"/>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row>
    <row r="39" spans="1:28" s="272" customFormat="1" ht="27.6" x14ac:dyDescent="0.3">
      <c r="A39" s="303" t="s">
        <v>122</v>
      </c>
      <c r="B39" s="304" t="s">
        <v>153</v>
      </c>
      <c r="C39" s="305"/>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row>
    <row r="40" spans="1:28" s="308" customFormat="1" ht="27.6" x14ac:dyDescent="0.25">
      <c r="A40" s="292" t="s">
        <v>123</v>
      </c>
      <c r="B40" s="306" t="s">
        <v>153</v>
      </c>
      <c r="C40" s="307">
        <f>SUM(C36:C39)</f>
        <v>0</v>
      </c>
      <c r="D40" s="307">
        <f>SUM(D36:D39)</f>
        <v>20</v>
      </c>
      <c r="E40" s="307">
        <f t="shared" ref="E40:AB40" si="53">SUM(E36:E39)</f>
        <v>0</v>
      </c>
      <c r="F40" s="307">
        <f t="shared" si="53"/>
        <v>0</v>
      </c>
      <c r="G40" s="307">
        <f t="shared" si="53"/>
        <v>0</v>
      </c>
      <c r="H40" s="307">
        <f t="shared" si="53"/>
        <v>0</v>
      </c>
      <c r="I40" s="307">
        <f t="shared" si="53"/>
        <v>0</v>
      </c>
      <c r="J40" s="307">
        <f t="shared" si="53"/>
        <v>0</v>
      </c>
      <c r="K40" s="307">
        <f t="shared" si="53"/>
        <v>0</v>
      </c>
      <c r="L40" s="307">
        <f t="shared" si="53"/>
        <v>0</v>
      </c>
      <c r="M40" s="307">
        <f t="shared" si="53"/>
        <v>0</v>
      </c>
      <c r="N40" s="307">
        <f t="shared" si="53"/>
        <v>0</v>
      </c>
      <c r="O40" s="307">
        <f t="shared" si="53"/>
        <v>0</v>
      </c>
      <c r="P40" s="307">
        <f t="shared" si="53"/>
        <v>0</v>
      </c>
      <c r="Q40" s="307">
        <f t="shared" si="53"/>
        <v>0</v>
      </c>
      <c r="R40" s="307">
        <f t="shared" si="53"/>
        <v>0</v>
      </c>
      <c r="S40" s="307">
        <f t="shared" si="53"/>
        <v>0</v>
      </c>
      <c r="T40" s="307">
        <f t="shared" si="53"/>
        <v>0</v>
      </c>
      <c r="U40" s="307">
        <f t="shared" si="53"/>
        <v>0</v>
      </c>
      <c r="V40" s="307">
        <f t="shared" si="53"/>
        <v>0</v>
      </c>
      <c r="W40" s="307">
        <f t="shared" si="53"/>
        <v>0</v>
      </c>
      <c r="X40" s="307">
        <f t="shared" si="53"/>
        <v>0</v>
      </c>
      <c r="Y40" s="307">
        <f t="shared" si="53"/>
        <v>0</v>
      </c>
      <c r="Z40" s="307">
        <f t="shared" si="53"/>
        <v>0</v>
      </c>
      <c r="AA40" s="307">
        <f t="shared" si="53"/>
        <v>0</v>
      </c>
      <c r="AB40" s="307">
        <f t="shared" si="53"/>
        <v>0</v>
      </c>
    </row>
  </sheetData>
  <mergeCells count="2">
    <mergeCell ref="A35:F35"/>
    <mergeCell ref="A3:B3"/>
  </mergeCells>
  <phoneticPr fontId="35" type="noConversion"/>
  <conditionalFormatting sqref="C27:AB27">
    <cfRule type="containsText" dxfId="3" priority="2" operator="containsText" text="N/A">
      <formula>NOT(ISERROR(SEARCH("N/A",C27)))</formula>
    </cfRule>
  </conditionalFormatting>
  <conditionalFormatting sqref="D33:AB33">
    <cfRule type="containsText" dxfId="2" priority="1" operator="containsText" text="N/A">
      <formula>NOT(ISERROR(SEARCH("N/A",D33)))</formula>
    </cfRule>
  </conditionalFormatting>
  <pageMargins left="0.70866141732283472" right="0.70866141732283472" top="0.15748031496062992" bottom="0.15748031496062992" header="0.19685039370078741" footer="0"/>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45"/>
  <sheetViews>
    <sheetView topLeftCell="A25" zoomScaleNormal="100" zoomScaleSheetLayoutView="100" workbookViewId="0">
      <selection activeCell="E30" sqref="E30"/>
    </sheetView>
  </sheetViews>
  <sheetFormatPr baseColWidth="10" defaultColWidth="11.5546875" defaultRowHeight="14.4" x14ac:dyDescent="0.3"/>
  <cols>
    <col min="2" max="2" width="42.44140625" bestFit="1" customWidth="1"/>
    <col min="3" max="3" width="13.5546875" bestFit="1" customWidth="1"/>
    <col min="5" max="5" width="16" customWidth="1"/>
    <col min="6" max="6" width="16" bestFit="1" customWidth="1"/>
    <col min="7" max="7" width="12.44140625" bestFit="1" customWidth="1"/>
  </cols>
  <sheetData>
    <row r="1" spans="1:7" ht="21" x14ac:dyDescent="0.4">
      <c r="A1" s="1" t="s">
        <v>155</v>
      </c>
      <c r="B1" s="1"/>
      <c r="C1" s="83"/>
      <c r="D1" s="83"/>
      <c r="E1" s="83"/>
      <c r="F1" s="83"/>
      <c r="G1" s="83"/>
    </row>
    <row r="2" spans="1:7" s="140" customFormat="1" ht="13.8" x14ac:dyDescent="0.3">
      <c r="A2" s="136"/>
      <c r="B2" s="137" t="s">
        <v>124</v>
      </c>
      <c r="C2" s="138"/>
      <c r="D2" s="138"/>
      <c r="E2" s="138"/>
      <c r="F2" s="138"/>
      <c r="G2" s="139"/>
    </row>
    <row r="3" spans="1:7" s="140" customFormat="1" ht="13.8" x14ac:dyDescent="0.3">
      <c r="A3" s="141"/>
      <c r="B3" s="142" t="s">
        <v>318</v>
      </c>
      <c r="C3" s="143"/>
      <c r="D3" s="144" t="s">
        <v>125</v>
      </c>
      <c r="E3" s="145"/>
      <c r="F3" s="146" t="s">
        <v>287</v>
      </c>
      <c r="G3" s="147" t="str">
        <f>Currency2</f>
        <v>EUR</v>
      </c>
    </row>
    <row r="4" spans="1:7" s="140" customFormat="1" ht="13.8" x14ac:dyDescent="0.3">
      <c r="A4" s="141"/>
      <c r="B4" s="148" t="s">
        <v>24</v>
      </c>
      <c r="C4" s="149"/>
      <c r="D4" s="150"/>
      <c r="E4" s="151" t="s">
        <v>8</v>
      </c>
      <c r="F4" s="152"/>
      <c r="G4" s="153">
        <f t="shared" ref="G4:G11" si="0">F4/ExchRate</f>
        <v>0</v>
      </c>
    </row>
    <row r="5" spans="1:7" s="140" customFormat="1" ht="13.8" x14ac:dyDescent="0.3">
      <c r="A5" s="141"/>
      <c r="B5" s="148" t="s">
        <v>25</v>
      </c>
      <c r="C5" s="154"/>
      <c r="D5" s="148"/>
      <c r="E5" s="155" t="s">
        <v>8</v>
      </c>
      <c r="F5" s="156"/>
      <c r="G5" s="157">
        <f t="shared" si="0"/>
        <v>0</v>
      </c>
    </row>
    <row r="6" spans="1:7" s="140" customFormat="1" ht="13.8" x14ac:dyDescent="0.3">
      <c r="A6" s="141"/>
      <c r="B6" s="148" t="s">
        <v>26</v>
      </c>
      <c r="C6" s="154"/>
      <c r="D6" s="148"/>
      <c r="E6" s="155" t="s">
        <v>8</v>
      </c>
      <c r="F6" s="156"/>
      <c r="G6" s="157">
        <f t="shared" si="0"/>
        <v>0</v>
      </c>
    </row>
    <row r="7" spans="1:7" s="140" customFormat="1" ht="13.8" x14ac:dyDescent="0.3">
      <c r="A7" s="141"/>
      <c r="B7" s="148" t="s">
        <v>27</v>
      </c>
      <c r="C7" s="154"/>
      <c r="D7" s="148"/>
      <c r="E7" s="155" t="s">
        <v>8</v>
      </c>
      <c r="F7" s="156"/>
      <c r="G7" s="157">
        <f t="shared" si="0"/>
        <v>0</v>
      </c>
    </row>
    <row r="8" spans="1:7" s="140" customFormat="1" ht="13.8" x14ac:dyDescent="0.3">
      <c r="A8" s="141"/>
      <c r="B8" s="148" t="s">
        <v>356</v>
      </c>
      <c r="C8" s="154"/>
      <c r="D8" s="148"/>
      <c r="E8" s="155"/>
      <c r="F8" s="158"/>
      <c r="G8" s="157"/>
    </row>
    <row r="9" spans="1:7" s="140" customFormat="1" ht="13.8" x14ac:dyDescent="0.3">
      <c r="A9" s="141"/>
      <c r="B9" s="148" t="s">
        <v>357</v>
      </c>
      <c r="C9" s="154"/>
      <c r="D9" s="148"/>
      <c r="E9" s="155"/>
      <c r="F9" s="158"/>
      <c r="G9" s="157"/>
    </row>
    <row r="10" spans="1:7" s="140" customFormat="1" ht="13.8" x14ac:dyDescent="0.3">
      <c r="A10" s="141"/>
      <c r="B10" s="148" t="s">
        <v>28</v>
      </c>
      <c r="C10" s="154"/>
      <c r="D10" s="148"/>
      <c r="E10" s="155" t="s">
        <v>8</v>
      </c>
      <c r="F10" s="158"/>
      <c r="G10" s="157">
        <f t="shared" si="0"/>
        <v>0</v>
      </c>
    </row>
    <row r="11" spans="1:7" s="140" customFormat="1" ht="13.8" x14ac:dyDescent="0.3">
      <c r="A11" s="141"/>
      <c r="B11" s="148" t="s">
        <v>28</v>
      </c>
      <c r="C11" s="159"/>
      <c r="D11" s="160"/>
      <c r="E11" s="161" t="s">
        <v>8</v>
      </c>
      <c r="F11" s="162"/>
      <c r="G11" s="163">
        <f t="shared" si="0"/>
        <v>0</v>
      </c>
    </row>
    <row r="12" spans="1:7" s="140" customFormat="1" ht="13.8" x14ac:dyDescent="0.3">
      <c r="A12" s="141"/>
      <c r="B12" s="137" t="s">
        <v>126</v>
      </c>
      <c r="C12" s="138"/>
      <c r="D12" s="138"/>
      <c r="E12" s="138"/>
      <c r="F12" s="138"/>
      <c r="G12" s="139"/>
    </row>
    <row r="13" spans="1:7" s="140" customFormat="1" ht="13.8" x14ac:dyDescent="0.3">
      <c r="A13" s="141"/>
      <c r="B13" s="148" t="s">
        <v>29</v>
      </c>
      <c r="C13" s="85"/>
      <c r="D13" s="85"/>
      <c r="E13" s="86"/>
      <c r="F13" s="156"/>
      <c r="G13" s="164">
        <f>F13/ExchRate</f>
        <v>0</v>
      </c>
    </row>
    <row r="14" spans="1:7" s="140" customFormat="1" ht="13.8" x14ac:dyDescent="0.3">
      <c r="A14" s="141"/>
      <c r="B14" s="148" t="s">
        <v>30</v>
      </c>
      <c r="C14" s="87"/>
      <c r="D14" s="87"/>
      <c r="E14" s="88"/>
      <c r="F14" s="156"/>
      <c r="G14" s="164">
        <f>F14/ExchRate</f>
        <v>0</v>
      </c>
    </row>
    <row r="15" spans="1:7" s="140" customFormat="1" ht="13.8" x14ac:dyDescent="0.3">
      <c r="A15" s="141"/>
      <c r="B15" s="148" t="s">
        <v>31</v>
      </c>
      <c r="C15" s="87"/>
      <c r="E15" s="88"/>
      <c r="F15" s="156"/>
      <c r="G15" s="164">
        <f>F15/ExchRate</f>
        <v>0</v>
      </c>
    </row>
    <row r="16" spans="1:7" s="140" customFormat="1" ht="13.8" x14ac:dyDescent="0.3">
      <c r="A16" s="141"/>
      <c r="B16" s="148" t="s">
        <v>32</v>
      </c>
      <c r="C16" s="87"/>
      <c r="D16" s="87"/>
      <c r="E16" s="89"/>
      <c r="F16" s="156"/>
      <c r="G16" s="164">
        <f>F16/ExchRate</f>
        <v>0</v>
      </c>
    </row>
    <row r="17" spans="1:7" s="140" customFormat="1" ht="13.8" x14ac:dyDescent="0.3">
      <c r="A17" s="141"/>
      <c r="B17" s="148" t="s">
        <v>33</v>
      </c>
      <c r="C17" s="165"/>
      <c r="D17" s="165"/>
      <c r="E17" s="166"/>
      <c r="F17" s="156"/>
      <c r="G17" s="164">
        <f>F17/ExchRate</f>
        <v>0</v>
      </c>
    </row>
    <row r="18" spans="1:7" s="140" customFormat="1" ht="13.8" x14ac:dyDescent="0.3">
      <c r="A18" s="141"/>
      <c r="B18" s="167" t="s">
        <v>127</v>
      </c>
      <c r="C18" s="90"/>
      <c r="D18" s="90"/>
      <c r="E18" s="90"/>
      <c r="F18" s="168">
        <f>SUM(F4:F17)</f>
        <v>0</v>
      </c>
      <c r="G18" s="169">
        <f>SUM(G4:G17)</f>
        <v>0</v>
      </c>
    </row>
    <row r="19" spans="1:7" s="140" customFormat="1" ht="13.8" x14ac:dyDescent="0.3">
      <c r="A19" s="141"/>
      <c r="B19" s="136"/>
      <c r="C19" s="136"/>
      <c r="D19" s="136"/>
      <c r="E19" s="136"/>
      <c r="F19" s="136"/>
      <c r="G19" s="136"/>
    </row>
    <row r="20" spans="1:7" s="140" customFormat="1" ht="13.8" x14ac:dyDescent="0.3">
      <c r="A20" s="141"/>
      <c r="B20" s="137" t="s">
        <v>128</v>
      </c>
      <c r="C20" s="170"/>
      <c r="D20" s="170"/>
      <c r="E20" s="170"/>
      <c r="F20" s="170"/>
      <c r="G20" s="171"/>
    </row>
    <row r="21" spans="1:7" s="140" customFormat="1" ht="13.8" x14ac:dyDescent="0.3">
      <c r="A21" s="141"/>
      <c r="B21" s="142" t="s">
        <v>180</v>
      </c>
      <c r="C21" s="143"/>
      <c r="D21" s="144" t="s">
        <v>125</v>
      </c>
      <c r="E21" s="145"/>
      <c r="F21" s="146" t="s">
        <v>287</v>
      </c>
      <c r="G21" s="147" t="str">
        <f>Currency2</f>
        <v>EUR</v>
      </c>
    </row>
    <row r="22" spans="1:7" s="140" customFormat="1" ht="13.8" x14ac:dyDescent="0.3">
      <c r="A22" s="141"/>
      <c r="B22" s="167" t="s">
        <v>129</v>
      </c>
      <c r="C22" s="90"/>
      <c r="D22" s="172"/>
      <c r="E22" s="145" t="s">
        <v>8</v>
      </c>
      <c r="F22" s="173">
        <f>F29+F37</f>
        <v>0</v>
      </c>
      <c r="G22" s="174">
        <f>G29+G37</f>
        <v>0</v>
      </c>
    </row>
    <row r="23" spans="1:7" s="140" customFormat="1" ht="27.6" x14ac:dyDescent="0.3">
      <c r="A23" s="141"/>
      <c r="B23" s="175" t="s">
        <v>130</v>
      </c>
      <c r="C23" s="175" t="str">
        <f>"PRIX UNITAIRE ("&amp;Currency &amp;")"</f>
        <v>PRIX UNITAIRE (FCFA)</v>
      </c>
      <c r="D23" s="175" t="s">
        <v>131</v>
      </c>
      <c r="E23" s="175" t="s">
        <v>132</v>
      </c>
      <c r="F23" s="175" t="str">
        <f xml:space="preserve"> "SOUS TOTAL "&amp;Currency</f>
        <v>SOUS TOTAL FCFA</v>
      </c>
      <c r="G23" s="175" t="str">
        <f xml:space="preserve"> "SOUS TOTAL "&amp;Currency2</f>
        <v>SOUS TOTAL EUR</v>
      </c>
    </row>
    <row r="24" spans="1:7" s="140" customFormat="1" ht="13.8" x14ac:dyDescent="0.3">
      <c r="A24" s="141"/>
      <c r="B24" s="176"/>
      <c r="C24" s="177"/>
      <c r="D24" s="178"/>
      <c r="E24" s="177"/>
      <c r="F24" s="179">
        <f>E24*C24</f>
        <v>0</v>
      </c>
      <c r="G24" s="180">
        <f>F24/ExchRate</f>
        <v>0</v>
      </c>
    </row>
    <row r="25" spans="1:7" s="140" customFormat="1" ht="13.8" x14ac:dyDescent="0.3">
      <c r="A25" s="141"/>
      <c r="B25" s="176"/>
      <c r="C25" s="177"/>
      <c r="D25" s="178"/>
      <c r="E25" s="177"/>
      <c r="F25" s="179">
        <f>E25*C25</f>
        <v>0</v>
      </c>
      <c r="G25" s="180">
        <f>F25/ExchRate</f>
        <v>0</v>
      </c>
    </row>
    <row r="26" spans="1:7" s="140" customFormat="1" ht="13.8" x14ac:dyDescent="0.3">
      <c r="A26" s="141"/>
      <c r="B26" s="176"/>
      <c r="C26" s="177"/>
      <c r="D26" s="178"/>
      <c r="E26" s="177"/>
      <c r="F26" s="179">
        <f>E26*C26</f>
        <v>0</v>
      </c>
      <c r="G26" s="180">
        <f>F26/ExchRate</f>
        <v>0</v>
      </c>
    </row>
    <row r="27" spans="1:7" s="140" customFormat="1" ht="13.8" x14ac:dyDescent="0.3">
      <c r="A27" s="141"/>
      <c r="B27" s="176"/>
      <c r="C27" s="177"/>
      <c r="D27" s="178"/>
      <c r="E27" s="177"/>
      <c r="F27" s="179">
        <f>E27*C27</f>
        <v>0</v>
      </c>
      <c r="G27" s="180">
        <f>F27/ExchRate</f>
        <v>0</v>
      </c>
    </row>
    <row r="28" spans="1:7" s="140" customFormat="1" ht="13.8" x14ac:dyDescent="0.3">
      <c r="A28" s="141"/>
      <c r="B28" s="176"/>
      <c r="C28" s="177"/>
      <c r="D28" s="178"/>
      <c r="E28" s="177"/>
      <c r="F28" s="181">
        <f>E28*C28</f>
        <v>0</v>
      </c>
      <c r="G28" s="182">
        <f>F28/ExchRate</f>
        <v>0</v>
      </c>
    </row>
    <row r="29" spans="1:7" s="140" customFormat="1" ht="13.8" x14ac:dyDescent="0.3">
      <c r="A29" s="141"/>
      <c r="B29" s="167" t="s">
        <v>133</v>
      </c>
      <c r="C29" s="183"/>
      <c r="D29" s="183"/>
      <c r="E29" s="183"/>
      <c r="F29" s="184">
        <f>SUM(F24:F28)</f>
        <v>0</v>
      </c>
      <c r="G29" s="185">
        <f>SUM(G24:G28)</f>
        <v>0</v>
      </c>
    </row>
    <row r="30" spans="1:7" s="140" customFormat="1" ht="13.8" x14ac:dyDescent="0.3">
      <c r="A30" s="141"/>
      <c r="B30" s="137" t="s">
        <v>134</v>
      </c>
      <c r="C30" s="170"/>
      <c r="D30" s="170"/>
      <c r="E30" s="91" t="s">
        <v>156</v>
      </c>
      <c r="F30" s="170"/>
      <c r="G30" s="171"/>
    </row>
    <row r="31" spans="1:7" s="140" customFormat="1" ht="27.6" x14ac:dyDescent="0.3">
      <c r="A31" s="141"/>
      <c r="B31" s="175" t="s">
        <v>135</v>
      </c>
      <c r="C31" s="175" t="str">
        <f>"PRIX UNITAIRE ("&amp;Currency &amp;")"</f>
        <v>PRIX UNITAIRE (FCFA)</v>
      </c>
      <c r="D31" s="175" t="s">
        <v>131</v>
      </c>
      <c r="E31" s="175" t="s">
        <v>132</v>
      </c>
      <c r="F31" s="175" t="str">
        <f xml:space="preserve"> "SOUS TOTAL "&amp;Currency</f>
        <v>SOUS TOTAL FCFA</v>
      </c>
      <c r="G31" s="175" t="str">
        <f xml:space="preserve"> "SOUS TOTAL "&amp;Currency2</f>
        <v>SOUS TOTAL EUR</v>
      </c>
    </row>
    <row r="32" spans="1:7" s="140" customFormat="1" ht="13.8" x14ac:dyDescent="0.3">
      <c r="A32" s="141"/>
      <c r="B32" s="176" t="s">
        <v>354</v>
      </c>
      <c r="C32" s="177"/>
      <c r="D32" s="178" t="s">
        <v>136</v>
      </c>
      <c r="E32" s="177"/>
      <c r="F32" s="179">
        <f>E32*C32</f>
        <v>0</v>
      </c>
      <c r="G32" s="180">
        <f>F32/ExchRate</f>
        <v>0</v>
      </c>
    </row>
    <row r="33" spans="1:7" s="140" customFormat="1" ht="13.8" x14ac:dyDescent="0.3">
      <c r="A33" s="141"/>
      <c r="B33" s="176" t="s">
        <v>355</v>
      </c>
      <c r="C33" s="177"/>
      <c r="D33" s="178" t="s">
        <v>136</v>
      </c>
      <c r="E33" s="177"/>
      <c r="F33" s="179">
        <f>E33*C33</f>
        <v>0</v>
      </c>
      <c r="G33" s="180">
        <f>F33/ExchRate</f>
        <v>0</v>
      </c>
    </row>
    <row r="34" spans="1:7" s="140" customFormat="1" ht="13.8" x14ac:dyDescent="0.3">
      <c r="A34" s="141"/>
      <c r="B34" s="176"/>
      <c r="C34" s="177"/>
      <c r="D34" s="178" t="s">
        <v>136</v>
      </c>
      <c r="E34" s="177"/>
      <c r="F34" s="179">
        <f>E34*C34</f>
        <v>0</v>
      </c>
      <c r="G34" s="180">
        <f>F34/ExchRate</f>
        <v>0</v>
      </c>
    </row>
    <row r="35" spans="1:7" s="140" customFormat="1" ht="13.8" x14ac:dyDescent="0.3">
      <c r="A35" s="141"/>
      <c r="B35" s="176"/>
      <c r="C35" s="177"/>
      <c r="D35" s="178" t="s">
        <v>136</v>
      </c>
      <c r="E35" s="177"/>
      <c r="F35" s="179">
        <f>E35*C35</f>
        <v>0</v>
      </c>
      <c r="G35" s="180">
        <f>F35/ExchRate</f>
        <v>0</v>
      </c>
    </row>
    <row r="36" spans="1:7" s="140" customFormat="1" ht="13.8" x14ac:dyDescent="0.3">
      <c r="A36" s="141"/>
      <c r="B36" s="176"/>
      <c r="C36" s="177"/>
      <c r="D36" s="178" t="s">
        <v>136</v>
      </c>
      <c r="E36" s="177"/>
      <c r="F36" s="179">
        <f>E36*C36</f>
        <v>0</v>
      </c>
      <c r="G36" s="180">
        <f>F36/ExchRate</f>
        <v>0</v>
      </c>
    </row>
    <row r="37" spans="1:7" s="140" customFormat="1" ht="13.8" x14ac:dyDescent="0.3">
      <c r="A37" s="141"/>
      <c r="B37" s="167" t="s">
        <v>137</v>
      </c>
      <c r="C37" s="186"/>
      <c r="D37" s="186"/>
      <c r="E37" s="186"/>
      <c r="F37" s="187">
        <f>SUM(F32:F36)</f>
        <v>0</v>
      </c>
      <c r="G37" s="188">
        <f>SUM(G32:G36)</f>
        <v>0</v>
      </c>
    </row>
    <row r="38" spans="1:7" s="140" customFormat="1" ht="13.8" x14ac:dyDescent="0.3">
      <c r="A38" s="141"/>
      <c r="B38" s="136"/>
      <c r="C38" s="136"/>
      <c r="D38" s="136"/>
      <c r="E38" s="136"/>
      <c r="F38" s="136"/>
      <c r="G38" s="136"/>
    </row>
    <row r="39" spans="1:7" s="140" customFormat="1" ht="13.8" x14ac:dyDescent="0.3">
      <c r="A39" s="141"/>
      <c r="B39" s="137" t="s">
        <v>138</v>
      </c>
      <c r="C39" s="170"/>
      <c r="D39" s="170"/>
      <c r="E39" s="91" t="s">
        <v>157</v>
      </c>
      <c r="F39" s="170"/>
      <c r="G39" s="171"/>
    </row>
    <row r="40" spans="1:7" s="140" customFormat="1" ht="27.6" x14ac:dyDescent="0.3">
      <c r="A40" s="141"/>
      <c r="B40" s="175" t="s">
        <v>139</v>
      </c>
      <c r="C40" s="175" t="str">
        <f>"PRIX UNITAIRE ("&amp;Currency &amp;")"</f>
        <v>PRIX UNITAIRE (FCFA)</v>
      </c>
      <c r="D40" s="175" t="s">
        <v>131</v>
      </c>
      <c r="E40" s="175" t="s">
        <v>132</v>
      </c>
      <c r="F40" s="175" t="str">
        <f xml:space="preserve"> "SOUS TOTAL "&amp;Currency</f>
        <v>SOUS TOTAL FCFA</v>
      </c>
      <c r="G40" s="175" t="str">
        <f xml:space="preserve"> "SOUS TOTAL "&amp;Currency2</f>
        <v>SOUS TOTAL EUR</v>
      </c>
    </row>
    <row r="41" spans="1:7" s="140" customFormat="1" ht="13.8" x14ac:dyDescent="0.3">
      <c r="A41" s="141"/>
      <c r="B41" s="176"/>
      <c r="C41" s="177"/>
      <c r="D41" s="178" t="s">
        <v>140</v>
      </c>
      <c r="E41" s="177"/>
      <c r="F41" s="179">
        <f>E41*C41</f>
        <v>0</v>
      </c>
      <c r="G41" s="180">
        <f>F41/ExchRate</f>
        <v>0</v>
      </c>
    </row>
    <row r="42" spans="1:7" s="140" customFormat="1" ht="13.8" x14ac:dyDescent="0.3">
      <c r="A42" s="136"/>
      <c r="B42" s="176"/>
      <c r="C42" s="177"/>
      <c r="D42" s="178" t="s">
        <v>140</v>
      </c>
      <c r="E42" s="177"/>
      <c r="F42" s="179">
        <f>E42*C42</f>
        <v>0</v>
      </c>
      <c r="G42" s="180">
        <f>F42/ExchRate</f>
        <v>0</v>
      </c>
    </row>
    <row r="43" spans="1:7" s="140" customFormat="1" ht="13.8" x14ac:dyDescent="0.3">
      <c r="A43" s="136"/>
      <c r="B43" s="176"/>
      <c r="C43" s="177"/>
      <c r="D43" s="178" t="s">
        <v>140</v>
      </c>
      <c r="E43" s="177"/>
      <c r="F43" s="179">
        <f>E43*C43</f>
        <v>0</v>
      </c>
      <c r="G43" s="180">
        <f>F43/ExchRate</f>
        <v>0</v>
      </c>
    </row>
    <row r="44" spans="1:7" s="140" customFormat="1" ht="13.8" x14ac:dyDescent="0.3">
      <c r="A44" s="136"/>
      <c r="B44" s="176"/>
      <c r="C44" s="177"/>
      <c r="D44" s="178" t="s">
        <v>140</v>
      </c>
      <c r="E44" s="177"/>
      <c r="F44" s="179">
        <f>E44*C44</f>
        <v>0</v>
      </c>
      <c r="G44" s="180">
        <f>F44/ExchRate</f>
        <v>0</v>
      </c>
    </row>
    <row r="45" spans="1:7" s="140" customFormat="1" ht="13.8" x14ac:dyDescent="0.3">
      <c r="A45" s="136"/>
      <c r="B45" s="167" t="s">
        <v>141</v>
      </c>
      <c r="C45" s="186"/>
      <c r="D45" s="186"/>
      <c r="E45" s="186"/>
      <c r="F45" s="187">
        <f>SUM(F41:F44)</f>
        <v>0</v>
      </c>
      <c r="G45" s="188">
        <f>SUM(G41:G44)</f>
        <v>0</v>
      </c>
    </row>
  </sheetData>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164"/>
  <sheetViews>
    <sheetView topLeftCell="A94" zoomScaleNormal="100" zoomScaleSheetLayoutView="100" workbookViewId="0">
      <selection activeCell="A99" sqref="A99"/>
    </sheetView>
  </sheetViews>
  <sheetFormatPr baseColWidth="10" defaultColWidth="11.44140625" defaultRowHeight="13.2" x14ac:dyDescent="0.25"/>
  <cols>
    <col min="1" max="1" width="52.77734375" style="4" customWidth="1"/>
    <col min="2" max="2" width="17.21875" style="4" customWidth="1"/>
    <col min="3" max="3" width="18.44140625" style="4" customWidth="1"/>
    <col min="4" max="4" width="25.21875" style="4" bestFit="1" customWidth="1"/>
    <col min="5" max="5" width="89.77734375" style="4" customWidth="1"/>
    <col min="6" max="6" width="19.44140625" style="4" customWidth="1"/>
    <col min="7" max="7" width="12.77734375" style="4" bestFit="1" customWidth="1"/>
    <col min="8" max="8" width="12.21875" style="4" bestFit="1" customWidth="1"/>
    <col min="9" max="16384" width="11.44140625" style="4"/>
  </cols>
  <sheetData>
    <row r="1" spans="1:10" ht="21" x14ac:dyDescent="0.4">
      <c r="A1" s="1" t="s">
        <v>174</v>
      </c>
      <c r="B1" s="2"/>
      <c r="C1" s="2"/>
      <c r="D1" s="2"/>
      <c r="E1" s="2"/>
      <c r="F1" s="3"/>
      <c r="G1" s="3"/>
      <c r="H1" s="3"/>
      <c r="I1" s="3"/>
      <c r="J1" s="3"/>
    </row>
    <row r="2" spans="1:10" s="8" customFormat="1" x14ac:dyDescent="0.25">
      <c r="A2" s="5" t="s">
        <v>0</v>
      </c>
      <c r="B2" s="6" t="s">
        <v>1</v>
      </c>
      <c r="C2" s="6" t="s">
        <v>2</v>
      </c>
      <c r="D2" s="6" t="s">
        <v>3</v>
      </c>
      <c r="E2" s="6" t="s">
        <v>4</v>
      </c>
      <c r="F2" s="7"/>
      <c r="G2" s="6"/>
      <c r="H2" s="7"/>
    </row>
    <row r="3" spans="1:10" x14ac:dyDescent="0.25">
      <c r="A3" s="9" t="s">
        <v>5</v>
      </c>
      <c r="B3" s="10"/>
      <c r="D3" s="11"/>
      <c r="E3" s="11"/>
    </row>
    <row r="4" spans="1:10" x14ac:dyDescent="0.25">
      <c r="A4" s="9" t="s">
        <v>6</v>
      </c>
      <c r="B4" s="10"/>
      <c r="D4" s="11"/>
      <c r="E4" s="11" t="s">
        <v>7</v>
      </c>
    </row>
    <row r="5" spans="1:10" x14ac:dyDescent="0.25">
      <c r="A5" s="9"/>
    </row>
    <row r="6" spans="1:10" s="8" customFormat="1" x14ac:dyDescent="0.25">
      <c r="A6" s="5" t="s">
        <v>9</v>
      </c>
    </row>
    <row r="7" spans="1:10" x14ac:dyDescent="0.25">
      <c r="A7" s="15" t="s">
        <v>10</v>
      </c>
      <c r="B7" s="16"/>
      <c r="D7" s="13"/>
      <c r="G7" s="17"/>
    </row>
    <row r="8" spans="1:10" x14ac:dyDescent="0.25">
      <c r="A8" s="18" t="s">
        <v>11</v>
      </c>
      <c r="B8" s="262"/>
      <c r="C8" s="4" t="s">
        <v>12</v>
      </c>
      <c r="D8" s="11"/>
      <c r="E8" s="261" t="s">
        <v>361</v>
      </c>
    </row>
    <row r="9" spans="1:10" x14ac:dyDescent="0.25">
      <c r="A9" s="18" t="s">
        <v>13</v>
      </c>
      <c r="B9" s="263"/>
      <c r="C9" s="4" t="s">
        <v>12</v>
      </c>
      <c r="D9" s="14"/>
      <c r="E9" s="261" t="s">
        <v>361</v>
      </c>
      <c r="G9" s="17"/>
    </row>
    <row r="10" spans="1:10" x14ac:dyDescent="0.25">
      <c r="A10" s="18" t="s">
        <v>14</v>
      </c>
      <c r="B10" s="263"/>
      <c r="C10" s="4" t="s">
        <v>12</v>
      </c>
      <c r="D10" s="14"/>
      <c r="E10" s="261" t="s">
        <v>361</v>
      </c>
      <c r="G10" s="17"/>
    </row>
    <row r="11" spans="1:10" x14ac:dyDescent="0.25">
      <c r="A11" s="15" t="s">
        <v>15</v>
      </c>
      <c r="D11" s="13"/>
      <c r="G11" s="17"/>
    </row>
    <row r="12" spans="1:10" x14ac:dyDescent="0.25">
      <c r="A12" s="9" t="s">
        <v>16</v>
      </c>
      <c r="B12" s="19" t="s">
        <v>17</v>
      </c>
      <c r="D12" s="11"/>
      <c r="E12" s="11" t="s">
        <v>18</v>
      </c>
    </row>
    <row r="13" spans="1:10" x14ac:dyDescent="0.25">
      <c r="A13" s="9" t="s">
        <v>19</v>
      </c>
      <c r="B13" s="19" t="s">
        <v>20</v>
      </c>
      <c r="D13" s="11"/>
      <c r="E13" s="11" t="s">
        <v>21</v>
      </c>
    </row>
    <row r="14" spans="1:10" x14ac:dyDescent="0.25">
      <c r="A14" s="9" t="s">
        <v>22</v>
      </c>
      <c r="B14" s="20">
        <v>655.95699999999999</v>
      </c>
      <c r="C14" s="13" t="str">
        <f>Currency&amp;"/"&amp;Currency2</f>
        <v>FCFA/EUR</v>
      </c>
      <c r="D14" s="14"/>
      <c r="E14" s="11"/>
    </row>
    <row r="15" spans="1:10" x14ac:dyDescent="0.25">
      <c r="A15" s="9"/>
      <c r="B15" s="22"/>
      <c r="C15" s="13"/>
      <c r="D15" s="13"/>
    </row>
    <row r="16" spans="1:10" s="8" customFormat="1" x14ac:dyDescent="0.25">
      <c r="A16" s="5" t="s">
        <v>23</v>
      </c>
      <c r="D16" s="23"/>
      <c r="G16" s="24"/>
    </row>
    <row r="17" spans="1:9" s="26" customFormat="1" x14ac:dyDescent="0.25">
      <c r="A17" s="15" t="s">
        <v>34</v>
      </c>
      <c r="B17" s="30"/>
      <c r="C17" s="31"/>
      <c r="D17" s="31"/>
    </row>
    <row r="18" spans="1:9" x14ac:dyDescent="0.25">
      <c r="A18" s="15" t="s">
        <v>35</v>
      </c>
      <c r="B18" s="16"/>
      <c r="D18" s="13"/>
      <c r="G18" s="17"/>
    </row>
    <row r="19" spans="1:9" ht="14.4" x14ac:dyDescent="0.3">
      <c r="A19" s="92" t="str">
        <f>CAPEX!B4</f>
        <v>Centrale PV hors batterie &amp; électronique</v>
      </c>
      <c r="B19" s="33"/>
      <c r="C19" s="13" t="s">
        <v>172</v>
      </c>
      <c r="D19" s="14"/>
      <c r="E19" s="34" t="s">
        <v>36</v>
      </c>
      <c r="I19"/>
    </row>
    <row r="20" spans="1:9" ht="14.4" x14ac:dyDescent="0.3">
      <c r="A20" s="92" t="str">
        <f>CAPEX!B5</f>
        <v>Batteries</v>
      </c>
      <c r="B20" s="33"/>
      <c r="C20" s="13" t="s">
        <v>172</v>
      </c>
      <c r="D20" s="14"/>
      <c r="E20" s="34"/>
      <c r="I20"/>
    </row>
    <row r="21" spans="1:9" ht="14.4" x14ac:dyDescent="0.3">
      <c r="A21" s="92" t="str">
        <f>CAPEX!B6</f>
        <v>Groupe électrogène</v>
      </c>
      <c r="B21" s="33"/>
      <c r="C21" s="13" t="s">
        <v>172</v>
      </c>
      <c r="D21" s="14"/>
      <c r="E21" s="34"/>
      <c r="I21"/>
    </row>
    <row r="22" spans="1:9" ht="14.4" x14ac:dyDescent="0.3">
      <c r="A22" s="92" t="str">
        <f>CAPEX!B7</f>
        <v>Electronique</v>
      </c>
      <c r="B22" s="33"/>
      <c r="C22" s="13" t="s">
        <v>172</v>
      </c>
      <c r="D22" s="14"/>
      <c r="E22" s="34"/>
      <c r="I22"/>
    </row>
    <row r="23" spans="1:9" ht="14.4" x14ac:dyDescent="0.3">
      <c r="A23" s="92" t="str">
        <f>CAPEX!B10</f>
        <v>N/A</v>
      </c>
      <c r="B23" s="33"/>
      <c r="C23" s="13" t="s">
        <v>172</v>
      </c>
      <c r="D23" s="14"/>
      <c r="E23" s="34"/>
      <c r="I23"/>
    </row>
    <row r="24" spans="1:9" ht="14.4" x14ac:dyDescent="0.3">
      <c r="A24" s="92" t="str">
        <f>CAPEX!B11</f>
        <v>N/A</v>
      </c>
      <c r="B24" s="33"/>
      <c r="C24" s="13" t="s">
        <v>172</v>
      </c>
      <c r="D24" s="14"/>
      <c r="E24" s="34"/>
      <c r="I24"/>
    </row>
    <row r="25" spans="1:9" ht="14.4" x14ac:dyDescent="0.3">
      <c r="A25" s="92" t="str">
        <f>CAPEX!B21</f>
        <v>Réseau BT</v>
      </c>
      <c r="B25" s="33"/>
      <c r="C25" s="13" t="s">
        <v>172</v>
      </c>
      <c r="D25" s="14"/>
      <c r="E25" s="34"/>
      <c r="I25"/>
    </row>
    <row r="26" spans="1:9" ht="14.4" x14ac:dyDescent="0.3">
      <c r="A26" s="15" t="s">
        <v>37</v>
      </c>
      <c r="B26" s="35"/>
      <c r="C26" s="13"/>
      <c r="D26" s="14"/>
      <c r="E26" s="34"/>
      <c r="I26"/>
    </row>
    <row r="27" spans="1:9" x14ac:dyDescent="0.25">
      <c r="A27" s="15" t="s">
        <v>38</v>
      </c>
      <c r="B27" s="16"/>
      <c r="D27" s="27"/>
      <c r="E27" s="28"/>
      <c r="G27" s="17"/>
    </row>
    <row r="28" spans="1:9" ht="14.4" x14ac:dyDescent="0.3">
      <c r="A28" s="9" t="s">
        <v>39</v>
      </c>
      <c r="B28" s="36"/>
      <c r="C28" s="13" t="str">
        <f>Currency&amp;"/mois"</f>
        <v>FCFA/mois</v>
      </c>
      <c r="D28" s="14"/>
      <c r="E28" s="34"/>
      <c r="I28"/>
    </row>
    <row r="29" spans="1:9" ht="14.4" x14ac:dyDescent="0.3">
      <c r="A29" s="9" t="s">
        <v>40</v>
      </c>
      <c r="B29" s="36"/>
      <c r="C29" s="13" t="s">
        <v>41</v>
      </c>
      <c r="D29" s="14"/>
      <c r="E29" s="34"/>
      <c r="I29"/>
    </row>
    <row r="30" spans="1:9" ht="14.4" x14ac:dyDescent="0.3">
      <c r="A30" s="9" t="s">
        <v>42</v>
      </c>
      <c r="B30" s="36"/>
      <c r="C30" s="13" t="str">
        <f>Currency&amp;"/mois"</f>
        <v>FCFA/mois</v>
      </c>
      <c r="D30" s="14"/>
      <c r="E30" s="34"/>
      <c r="I30"/>
    </row>
    <row r="31" spans="1:9" ht="14.4" x14ac:dyDescent="0.3">
      <c r="A31" s="9" t="s">
        <v>43</v>
      </c>
      <c r="B31" s="36"/>
      <c r="C31" s="13" t="s">
        <v>41</v>
      </c>
      <c r="D31" s="14"/>
      <c r="E31" s="34"/>
      <c r="I31"/>
    </row>
    <row r="32" spans="1:9" x14ac:dyDescent="0.25">
      <c r="A32" s="15" t="s">
        <v>44</v>
      </c>
      <c r="B32" s="16"/>
      <c r="D32" s="27"/>
      <c r="E32" s="28"/>
      <c r="G32" s="17"/>
    </row>
    <row r="33" spans="1:9" ht="14.4" x14ac:dyDescent="0.3">
      <c r="A33" s="9" t="s">
        <v>45</v>
      </c>
      <c r="B33" s="37"/>
      <c r="C33" s="13" t="str">
        <f>Currency&amp;"/an"</f>
        <v>FCFA/an</v>
      </c>
      <c r="D33" s="14"/>
      <c r="E33" s="11" t="s">
        <v>173</v>
      </c>
      <c r="I33"/>
    </row>
    <row r="34" spans="1:9" s="26" customFormat="1" x14ac:dyDescent="0.25">
      <c r="A34" s="15" t="s">
        <v>46</v>
      </c>
      <c r="B34" s="30"/>
      <c r="C34" s="31"/>
      <c r="D34" s="31"/>
    </row>
    <row r="35" spans="1:9" s="26" customFormat="1" x14ac:dyDescent="0.25">
      <c r="A35" s="18" t="s">
        <v>47</v>
      </c>
      <c r="B35" s="38"/>
      <c r="C35" s="31" t="s">
        <v>48</v>
      </c>
      <c r="D35" s="14"/>
      <c r="E35" s="11"/>
    </row>
    <row r="36" spans="1:9" x14ac:dyDescent="0.25">
      <c r="A36" s="18" t="s">
        <v>49</v>
      </c>
      <c r="B36" s="39"/>
      <c r="C36" s="4" t="str">
        <f>Currency&amp;"/litre"</f>
        <v>FCFA/litre</v>
      </c>
      <c r="D36" s="14"/>
      <c r="E36" s="11"/>
      <c r="G36" s="17"/>
    </row>
    <row r="37" spans="1:9" s="26" customFormat="1" x14ac:dyDescent="0.25">
      <c r="A37" s="32" t="s">
        <v>50</v>
      </c>
      <c r="B37" s="40">
        <f>B35*B36</f>
        <v>0</v>
      </c>
      <c r="C37" s="31" t="str">
        <f>Currency&amp;"/kWh"</f>
        <v>FCFA/kWh</v>
      </c>
      <c r="D37" s="14"/>
      <c r="E37" s="11" t="s">
        <v>51</v>
      </c>
    </row>
    <row r="38" spans="1:9" ht="14.4" x14ac:dyDescent="0.3">
      <c r="A38" s="9" t="s">
        <v>52</v>
      </c>
      <c r="B38" s="41"/>
      <c r="C38" s="13" t="str">
        <f>Currency&amp;"/kWh"</f>
        <v>FCFA/kWh</v>
      </c>
      <c r="D38" s="14"/>
      <c r="E38" s="11" t="s">
        <v>362</v>
      </c>
      <c r="I38"/>
    </row>
    <row r="39" spans="1:9" x14ac:dyDescent="0.25">
      <c r="A39" s="9"/>
    </row>
    <row r="40" spans="1:9" s="8" customFormat="1" x14ac:dyDescent="0.25">
      <c r="A40" s="5" t="s">
        <v>54</v>
      </c>
      <c r="B40" s="44"/>
      <c r="C40" s="23"/>
      <c r="D40" s="23"/>
    </row>
    <row r="41" spans="1:9" x14ac:dyDescent="0.25">
      <c r="A41" s="15" t="s">
        <v>55</v>
      </c>
      <c r="D41" s="13"/>
      <c r="G41" s="17"/>
    </row>
    <row r="42" spans="1:9" x14ac:dyDescent="0.25">
      <c r="A42" s="9" t="s">
        <v>56</v>
      </c>
      <c r="B42" s="45"/>
      <c r="C42" s="13" t="s">
        <v>168</v>
      </c>
      <c r="D42" s="14"/>
      <c r="E42" s="11"/>
      <c r="F42" s="46"/>
      <c r="H42" s="46"/>
    </row>
    <row r="43" spans="1:9" x14ac:dyDescent="0.25">
      <c r="A43" s="18" t="s">
        <v>57</v>
      </c>
      <c r="B43" s="45"/>
      <c r="C43" s="13" t="s">
        <v>168</v>
      </c>
      <c r="D43" s="11"/>
      <c r="E43" s="11"/>
      <c r="F43" s="46"/>
      <c r="G43" s="21"/>
      <c r="H43" s="46"/>
    </row>
    <row r="44" spans="1:9" x14ac:dyDescent="0.25">
      <c r="A44" s="15" t="s">
        <v>58</v>
      </c>
      <c r="D44" s="13"/>
      <c r="G44" s="17"/>
    </row>
    <row r="45" spans="1:9" x14ac:dyDescent="0.25">
      <c r="A45" s="18" t="str">
        <f>CAPEX!B4</f>
        <v>Centrale PV hors batterie &amp; électronique</v>
      </c>
      <c r="B45" s="45"/>
      <c r="C45" s="13" t="s">
        <v>168</v>
      </c>
      <c r="D45" s="11"/>
      <c r="E45" s="11"/>
      <c r="F45" s="46"/>
      <c r="G45" s="21"/>
      <c r="H45" s="46"/>
    </row>
    <row r="46" spans="1:9" x14ac:dyDescent="0.25">
      <c r="A46" s="18" t="str">
        <f>CAPEX!B5</f>
        <v>Batteries</v>
      </c>
      <c r="B46" s="45"/>
      <c r="C46" s="13" t="s">
        <v>168</v>
      </c>
      <c r="D46" s="11"/>
      <c r="E46" s="11"/>
      <c r="F46" s="46"/>
      <c r="G46" s="21"/>
      <c r="H46" s="46"/>
    </row>
    <row r="47" spans="1:9" x14ac:dyDescent="0.25">
      <c r="A47" s="18" t="str">
        <f>CAPEX!B6</f>
        <v>Groupe électrogène</v>
      </c>
      <c r="B47" s="45"/>
      <c r="C47" s="13" t="s">
        <v>168</v>
      </c>
      <c r="D47" s="11"/>
      <c r="E47" s="11"/>
      <c r="F47" s="46"/>
      <c r="G47" s="21"/>
      <c r="H47" s="46"/>
    </row>
    <row r="48" spans="1:9" x14ac:dyDescent="0.25">
      <c r="A48" s="18" t="str">
        <f>CAPEX!B7</f>
        <v>Electronique</v>
      </c>
      <c r="B48" s="45"/>
      <c r="C48" s="13" t="s">
        <v>168</v>
      </c>
      <c r="D48" s="11"/>
      <c r="E48" s="11"/>
      <c r="F48" s="46"/>
      <c r="G48" s="21"/>
      <c r="H48" s="46"/>
    </row>
    <row r="49" spans="1:8" x14ac:dyDescent="0.25">
      <c r="A49" s="18" t="str">
        <f>CAPEX!B10</f>
        <v>N/A</v>
      </c>
      <c r="B49" s="45"/>
      <c r="C49" s="13" t="s">
        <v>168</v>
      </c>
      <c r="D49" s="11"/>
      <c r="E49" s="11"/>
      <c r="F49" s="46"/>
      <c r="G49" s="21"/>
      <c r="H49" s="46"/>
    </row>
    <row r="50" spans="1:8" x14ac:dyDescent="0.25">
      <c r="A50" s="18" t="str">
        <f>CAPEX!B11</f>
        <v>N/A</v>
      </c>
      <c r="B50" s="45"/>
      <c r="C50" s="13" t="s">
        <v>168</v>
      </c>
      <c r="D50" s="11"/>
      <c r="E50" s="11"/>
      <c r="F50" s="46"/>
      <c r="G50" s="21"/>
      <c r="H50" s="46"/>
    </row>
    <row r="51" spans="1:8" x14ac:dyDescent="0.25">
      <c r="A51" s="18" t="str">
        <f>CAPEX!B21</f>
        <v>Réseau BT</v>
      </c>
      <c r="B51" s="45"/>
      <c r="C51" s="13" t="s">
        <v>168</v>
      </c>
      <c r="D51" s="11"/>
      <c r="E51" s="11"/>
      <c r="F51" s="46"/>
      <c r="G51" s="21"/>
      <c r="H51" s="46"/>
    </row>
    <row r="52" spans="1:8" x14ac:dyDescent="0.25">
      <c r="A52" s="18" t="s">
        <v>53</v>
      </c>
      <c r="B52" s="45"/>
      <c r="C52" s="13" t="s">
        <v>168</v>
      </c>
      <c r="D52" s="11"/>
      <c r="E52" s="11"/>
      <c r="F52" s="46"/>
      <c r="G52" s="21"/>
      <c r="H52" s="46"/>
    </row>
    <row r="53" spans="1:8" ht="14.4" x14ac:dyDescent="0.3">
      <c r="A53" s="15" t="s">
        <v>59</v>
      </c>
      <c r="B53" s="47"/>
      <c r="C53" s="13" t="s">
        <v>60</v>
      </c>
      <c r="D53" s="14"/>
      <c r="E53" s="11"/>
      <c r="F53"/>
      <c r="H53"/>
    </row>
    <row r="54" spans="1:8" x14ac:dyDescent="0.25">
      <c r="A54" s="15" t="s">
        <v>61</v>
      </c>
      <c r="B54" s="35"/>
      <c r="C54" s="13"/>
      <c r="D54" s="13"/>
    </row>
    <row r="55" spans="1:8" x14ac:dyDescent="0.25">
      <c r="A55" s="18" t="s">
        <v>62</v>
      </c>
      <c r="B55" s="95"/>
      <c r="C55" s="13" t="s">
        <v>169</v>
      </c>
      <c r="D55" s="11"/>
      <c r="E55" s="14"/>
      <c r="F55" s="48"/>
      <c r="G55" s="49"/>
      <c r="H55" s="50"/>
    </row>
    <row r="56" spans="1:8" x14ac:dyDescent="0.25">
      <c r="A56" s="18" t="s">
        <v>64</v>
      </c>
      <c r="B56" s="95"/>
      <c r="C56" s="13" t="s">
        <v>169</v>
      </c>
      <c r="D56" s="52"/>
      <c r="E56" s="14"/>
      <c r="F56" s="48"/>
      <c r="G56" s="49"/>
      <c r="H56" s="48"/>
    </row>
    <row r="57" spans="1:8" x14ac:dyDescent="0.25">
      <c r="A57" s="18" t="s">
        <v>65</v>
      </c>
      <c r="B57" s="96"/>
      <c r="C57" s="13" t="s">
        <v>169</v>
      </c>
      <c r="D57" s="52"/>
      <c r="E57" s="14"/>
      <c r="F57" s="48"/>
      <c r="G57" s="49"/>
      <c r="H57" s="48"/>
    </row>
    <row r="58" spans="1:8" x14ac:dyDescent="0.25">
      <c r="A58" s="18" t="s">
        <v>66</v>
      </c>
      <c r="B58" s="54"/>
      <c r="C58" s="13" t="s">
        <v>169</v>
      </c>
      <c r="D58" s="52"/>
      <c r="E58" s="14" t="s">
        <v>160</v>
      </c>
      <c r="F58" s="48"/>
      <c r="G58" s="49"/>
      <c r="H58" s="48"/>
    </row>
    <row r="59" spans="1:8" x14ac:dyDescent="0.25">
      <c r="A59" s="15" t="s">
        <v>67</v>
      </c>
      <c r="B59" s="55"/>
      <c r="C59" s="13"/>
      <c r="D59" s="27"/>
      <c r="E59" s="28"/>
    </row>
    <row r="60" spans="1:8" x14ac:dyDescent="0.25">
      <c r="A60" s="18" t="s">
        <v>68</v>
      </c>
      <c r="B60" s="47"/>
      <c r="C60" s="13" t="s">
        <v>8</v>
      </c>
      <c r="D60" s="56"/>
      <c r="E60" s="11"/>
    </row>
    <row r="61" spans="1:8" x14ac:dyDescent="0.25">
      <c r="A61" s="18" t="s">
        <v>69</v>
      </c>
      <c r="B61" s="47"/>
      <c r="C61" s="13" t="s">
        <v>8</v>
      </c>
      <c r="D61" s="14"/>
      <c r="E61" s="11"/>
    </row>
    <row r="62" spans="1:8" ht="14.4" x14ac:dyDescent="0.3">
      <c r="A62" s="18" t="s">
        <v>70</v>
      </c>
      <c r="B62" s="33"/>
      <c r="C62" s="13" t="s">
        <v>12</v>
      </c>
      <c r="D62" s="14"/>
      <c r="E62" s="11"/>
      <c r="F62"/>
      <c r="H62"/>
    </row>
    <row r="63" spans="1:8" x14ac:dyDescent="0.25">
      <c r="A63" s="15" t="s">
        <v>71</v>
      </c>
      <c r="B63" s="55"/>
      <c r="C63" s="13"/>
      <c r="D63" s="27"/>
      <c r="E63" s="28"/>
    </row>
    <row r="64" spans="1:8" x14ac:dyDescent="0.25">
      <c r="A64" s="18" t="s">
        <v>68</v>
      </c>
      <c r="B64" s="47"/>
      <c r="C64" s="13" t="s">
        <v>8</v>
      </c>
      <c r="D64" s="56"/>
      <c r="E64" s="11"/>
    </row>
    <row r="65" spans="1:8" x14ac:dyDescent="0.25">
      <c r="A65" s="18" t="s">
        <v>69</v>
      </c>
      <c r="B65" s="47"/>
      <c r="C65" s="13" t="s">
        <v>8</v>
      </c>
      <c r="D65" s="14"/>
      <c r="E65" s="11"/>
    </row>
    <row r="66" spans="1:8" ht="14.4" x14ac:dyDescent="0.3">
      <c r="A66" s="18" t="s">
        <v>70</v>
      </c>
      <c r="B66" s="33"/>
      <c r="C66" s="13" t="s">
        <v>12</v>
      </c>
      <c r="D66" s="14"/>
      <c r="E66" s="11"/>
      <c r="F66"/>
      <c r="H66"/>
    </row>
    <row r="67" spans="1:8" x14ac:dyDescent="0.25">
      <c r="A67" s="15" t="s">
        <v>72</v>
      </c>
      <c r="B67" s="35"/>
      <c r="C67" s="13"/>
      <c r="D67" s="27"/>
      <c r="E67" s="28"/>
    </row>
    <row r="68" spans="1:8" ht="13.8" thickBot="1" x14ac:dyDescent="0.3">
      <c r="A68" s="9" t="s">
        <v>73</v>
      </c>
      <c r="B68" s="57"/>
      <c r="C68" s="13" t="s">
        <v>170</v>
      </c>
      <c r="D68" s="14"/>
      <c r="E68" s="11" t="s">
        <v>74</v>
      </c>
    </row>
    <row r="69" spans="1:8" x14ac:dyDescent="0.25">
      <c r="A69" s="18" t="s">
        <v>75</v>
      </c>
      <c r="B69" s="58"/>
      <c r="C69" s="13" t="s">
        <v>171</v>
      </c>
      <c r="D69" s="11"/>
      <c r="E69" s="14"/>
      <c r="F69" s="48"/>
      <c r="G69" s="49"/>
      <c r="H69" s="50"/>
    </row>
    <row r="70" spans="1:8" ht="13.8" thickBot="1" x14ac:dyDescent="0.3">
      <c r="A70" s="18" t="s">
        <v>64</v>
      </c>
      <c r="B70" s="51"/>
      <c r="C70" s="13" t="s">
        <v>171</v>
      </c>
      <c r="D70" s="52"/>
      <c r="E70" s="14"/>
      <c r="F70" s="48"/>
      <c r="G70" s="49"/>
      <c r="H70" s="48"/>
    </row>
    <row r="71" spans="1:8" ht="13.8" thickBot="1" x14ac:dyDescent="0.3">
      <c r="A71" s="18" t="s">
        <v>76</v>
      </c>
      <c r="B71" s="53"/>
      <c r="C71" s="13" t="s">
        <v>171</v>
      </c>
      <c r="D71" s="52"/>
      <c r="E71" s="14"/>
      <c r="F71" s="48"/>
      <c r="G71" s="49"/>
      <c r="H71" s="48"/>
    </row>
    <row r="72" spans="1:8" x14ac:dyDescent="0.25">
      <c r="A72" s="15" t="s">
        <v>77</v>
      </c>
      <c r="B72" s="55"/>
      <c r="C72" s="13"/>
      <c r="D72" s="27"/>
      <c r="E72" s="28"/>
    </row>
    <row r="73" spans="1:8" x14ac:dyDescent="0.25">
      <c r="A73" s="18" t="s">
        <v>68</v>
      </c>
      <c r="B73" s="59"/>
      <c r="C73" s="13" t="s">
        <v>8</v>
      </c>
      <c r="D73" s="56"/>
      <c r="E73" s="11"/>
    </row>
    <row r="74" spans="1:8" x14ac:dyDescent="0.25">
      <c r="A74" s="18" t="s">
        <v>69</v>
      </c>
      <c r="B74" s="59"/>
      <c r="C74" s="13" t="s">
        <v>8</v>
      </c>
      <c r="D74" s="14"/>
      <c r="E74" s="11"/>
    </row>
    <row r="75" spans="1:8" ht="14.4" x14ac:dyDescent="0.3">
      <c r="A75" s="18" t="s">
        <v>70</v>
      </c>
      <c r="B75" s="60"/>
      <c r="C75" s="13" t="s">
        <v>12</v>
      </c>
      <c r="D75" s="14"/>
      <c r="E75" s="11"/>
      <c r="F75"/>
      <c r="H75"/>
    </row>
    <row r="76" spans="1:8" ht="14.4" x14ac:dyDescent="0.3">
      <c r="A76" s="15" t="s">
        <v>78</v>
      </c>
      <c r="B76" s="13"/>
      <c r="C76"/>
      <c r="D76" s="27"/>
      <c r="E76" s="28"/>
      <c r="G76" s="21"/>
    </row>
    <row r="77" spans="1:8" x14ac:dyDescent="0.25">
      <c r="A77" s="18" t="s">
        <v>79</v>
      </c>
      <c r="B77" s="61" t="s">
        <v>80</v>
      </c>
      <c r="C77" s="13"/>
      <c r="D77" s="14"/>
      <c r="E77" s="14" t="s">
        <v>161</v>
      </c>
      <c r="F77" s="26"/>
      <c r="G77" s="21"/>
    </row>
    <row r="78" spans="1:8" x14ac:dyDescent="0.25">
      <c r="A78" s="62" t="s">
        <v>81</v>
      </c>
      <c r="B78" s="63"/>
      <c r="C78" s="13" t="s">
        <v>82</v>
      </c>
      <c r="D78" s="11"/>
      <c r="E78" s="14"/>
      <c r="G78" s="21"/>
    </row>
    <row r="79" spans="1:8" ht="14.4" x14ac:dyDescent="0.3">
      <c r="A79" s="62" t="s">
        <v>83</v>
      </c>
      <c r="B79" s="64"/>
      <c r="C79" t="str">
        <f>Currency2&amp;"/tCO2eq"</f>
        <v>EUR/tCO2eq</v>
      </c>
      <c r="D79" s="14"/>
      <c r="E79" s="65"/>
      <c r="F79" s="42"/>
      <c r="G79" s="13"/>
    </row>
    <row r="80" spans="1:8" ht="14.4" x14ac:dyDescent="0.3">
      <c r="A80" s="62" t="s">
        <v>84</v>
      </c>
      <c r="B80" s="47"/>
      <c r="C80" t="str">
        <f>Currency2</f>
        <v>EUR</v>
      </c>
      <c r="D80" s="14"/>
      <c r="E80" s="11"/>
      <c r="G80" s="21"/>
    </row>
    <row r="81" spans="1:8" ht="14.4" x14ac:dyDescent="0.3">
      <c r="A81" s="62" t="s">
        <v>85</v>
      </c>
      <c r="B81" s="47"/>
      <c r="C81" t="str">
        <f>Currency2&amp;"/an"</f>
        <v>EUR/an</v>
      </c>
      <c r="D81" s="14"/>
      <c r="E81" s="11"/>
      <c r="G81" s="21"/>
    </row>
    <row r="82" spans="1:8" ht="15" thickBot="1" x14ac:dyDescent="0.35">
      <c r="A82" s="15" t="s">
        <v>86</v>
      </c>
      <c r="B82" s="13"/>
      <c r="C82"/>
      <c r="D82" s="27"/>
      <c r="E82" s="28"/>
      <c r="G82" s="21"/>
    </row>
    <row r="83" spans="1:8" ht="13.8" thickBot="1" x14ac:dyDescent="0.3">
      <c r="A83" s="18" t="s">
        <v>87</v>
      </c>
      <c r="B83" s="93"/>
      <c r="C83" s="13" t="s">
        <v>12</v>
      </c>
      <c r="D83" s="14"/>
      <c r="E83" s="14"/>
    </row>
    <row r="84" spans="1:8" s="26" customFormat="1" x14ac:dyDescent="0.25">
      <c r="A84" s="32" t="s">
        <v>88</v>
      </c>
      <c r="B84" s="12"/>
      <c r="C84" s="13" t="s">
        <v>8</v>
      </c>
      <c r="D84" s="14"/>
      <c r="E84" s="11" t="s">
        <v>162</v>
      </c>
    </row>
    <row r="85" spans="1:8" s="26" customFormat="1" x14ac:dyDescent="0.25">
      <c r="A85" s="32"/>
      <c r="B85" s="43"/>
      <c r="C85" s="31"/>
      <c r="D85" s="31"/>
    </row>
    <row r="86" spans="1:8" s="8" customFormat="1" x14ac:dyDescent="0.25">
      <c r="A86" s="5" t="s">
        <v>89</v>
      </c>
      <c r="B86" s="44"/>
      <c r="C86" s="23"/>
      <c r="D86" s="23"/>
    </row>
    <row r="87" spans="1:8" ht="14.4" x14ac:dyDescent="0.3">
      <c r="A87" s="15" t="s">
        <v>158</v>
      </c>
      <c r="B87" s="13"/>
      <c r="C87"/>
      <c r="D87" s="13"/>
      <c r="G87" s="21"/>
    </row>
    <row r="88" spans="1:8" ht="14.4" x14ac:dyDescent="0.3">
      <c r="A88" s="9" t="s">
        <v>90</v>
      </c>
      <c r="B88" s="57"/>
      <c r="C88" t="s">
        <v>166</v>
      </c>
      <c r="D88" s="14"/>
      <c r="E88" s="11"/>
      <c r="G88" s="21"/>
    </row>
    <row r="89" spans="1:8" ht="14.4" x14ac:dyDescent="0.3">
      <c r="A89" s="9" t="s">
        <v>91</v>
      </c>
      <c r="B89" s="66"/>
      <c r="C89" t="s">
        <v>167</v>
      </c>
      <c r="D89" s="14"/>
      <c r="E89" s="11"/>
      <c r="G89" s="21"/>
    </row>
    <row r="90" spans="1:8" ht="14.4" x14ac:dyDescent="0.3">
      <c r="A90" s="9" t="s">
        <v>92</v>
      </c>
      <c r="B90" s="67"/>
      <c r="C90" t="s">
        <v>168</v>
      </c>
      <c r="D90" s="14"/>
      <c r="E90" s="11"/>
      <c r="G90" s="21"/>
    </row>
    <row r="91" spans="1:8" ht="14.4" x14ac:dyDescent="0.3">
      <c r="A91" s="15" t="s">
        <v>93</v>
      </c>
      <c r="B91" s="29"/>
      <c r="C91"/>
      <c r="D91" s="13"/>
      <c r="G91" s="21"/>
    </row>
    <row r="92" spans="1:8" x14ac:dyDescent="0.25">
      <c r="A92" s="32" t="s">
        <v>159</v>
      </c>
      <c r="B92" s="68"/>
      <c r="C92" s="4" t="s">
        <v>170</v>
      </c>
      <c r="D92" s="14"/>
      <c r="E92" s="11" t="s">
        <v>94</v>
      </c>
      <c r="G92" s="21"/>
    </row>
    <row r="93" spans="1:8" ht="14.4" x14ac:dyDescent="0.3">
      <c r="A93" s="32" t="s">
        <v>95</v>
      </c>
      <c r="B93" s="69"/>
      <c r="C93" t="str">
        <f>Currency</f>
        <v>FCFA</v>
      </c>
      <c r="D93" s="14"/>
      <c r="E93" s="11"/>
      <c r="G93" s="21"/>
    </row>
    <row r="94" spans="1:8" s="74" customFormat="1" x14ac:dyDescent="0.25">
      <c r="A94" s="25" t="s">
        <v>96</v>
      </c>
      <c r="B94" s="70"/>
      <c r="C94" s="13" t="s">
        <v>165</v>
      </c>
      <c r="D94" s="71"/>
      <c r="E94" s="72"/>
      <c r="F94" s="73"/>
      <c r="G94" s="73"/>
      <c r="H94" s="73"/>
    </row>
    <row r="95" spans="1:8" ht="14.4" x14ac:dyDescent="0.3">
      <c r="A95" s="15" t="s">
        <v>97</v>
      </c>
      <c r="B95" s="13"/>
      <c r="C95"/>
      <c r="D95" s="13"/>
      <c r="G95" s="21"/>
    </row>
    <row r="96" spans="1:8" x14ac:dyDescent="0.25">
      <c r="A96" s="9" t="s">
        <v>98</v>
      </c>
      <c r="B96" s="94"/>
      <c r="C96" s="31" t="str">
        <f>Currency&amp;"/kWh"</f>
        <v>FCFA/kWh</v>
      </c>
      <c r="D96" s="11"/>
      <c r="E96" s="14" t="s">
        <v>63</v>
      </c>
      <c r="F96" s="42"/>
      <c r="G96" s="13"/>
    </row>
    <row r="97" spans="1:6" s="74" customFormat="1" ht="14.4" x14ac:dyDescent="0.3">
      <c r="A97" s="25" t="s">
        <v>99</v>
      </c>
      <c r="B97" s="94"/>
      <c r="C97" t="str">
        <f>Currency&amp;"/mois"</f>
        <v>FCFA/mois</v>
      </c>
      <c r="D97" s="71"/>
      <c r="E97" s="72"/>
      <c r="F97" s="73"/>
    </row>
    <row r="98" spans="1:6" x14ac:dyDescent="0.25">
      <c r="C98" s="13"/>
      <c r="D98" s="14"/>
      <c r="E98" s="11"/>
    </row>
    <row r="99" spans="1:6" s="74" customFormat="1" ht="14.4" x14ac:dyDescent="0.3">
      <c r="A99" s="25" t="s">
        <v>277</v>
      </c>
      <c r="B99" s="69"/>
      <c r="C99" s="29" t="str">
        <f>Currency</f>
        <v>FCFA</v>
      </c>
      <c r="D99" s="71"/>
      <c r="E99" s="72" t="s">
        <v>163</v>
      </c>
      <c r="F99" s="73"/>
    </row>
    <row r="100" spans="1:6" s="74" customFormat="1" ht="14.4" x14ac:dyDescent="0.3">
      <c r="A100" s="25" t="s">
        <v>100</v>
      </c>
      <c r="B100" s="69"/>
      <c r="C100" s="29" t="str">
        <f>Currency</f>
        <v>FCFA</v>
      </c>
      <c r="D100" s="71"/>
      <c r="E100" s="75"/>
      <c r="F100" s="73"/>
    </row>
    <row r="101" spans="1:6" s="74" customFormat="1" ht="14.4" x14ac:dyDescent="0.3">
      <c r="A101" s="25" t="s">
        <v>101</v>
      </c>
      <c r="B101" s="69"/>
      <c r="C101" s="29" t="str">
        <f>Currency</f>
        <v>FCFA</v>
      </c>
      <c r="D101" s="71"/>
      <c r="E101" s="75"/>
      <c r="F101" s="73"/>
    </row>
    <row r="102" spans="1:6" s="74" customFormat="1" ht="14.4" x14ac:dyDescent="0.3">
      <c r="A102" s="25" t="s">
        <v>276</v>
      </c>
      <c r="B102" s="69"/>
      <c r="C102" s="29" t="str">
        <f>Currency</f>
        <v>FCFA</v>
      </c>
      <c r="D102" s="71"/>
      <c r="E102" s="75"/>
      <c r="F102" s="73"/>
    </row>
    <row r="103" spans="1:6" s="74" customFormat="1" ht="14.4" x14ac:dyDescent="0.3">
      <c r="A103" s="25" t="s">
        <v>275</v>
      </c>
      <c r="B103" s="69"/>
      <c r="C103" s="29" t="str">
        <f>Currency</f>
        <v>FCFA</v>
      </c>
      <c r="D103" s="71"/>
      <c r="E103" s="75"/>
      <c r="F103" s="73"/>
    </row>
    <row r="104" spans="1:6" s="74" customFormat="1" ht="14.4" x14ac:dyDescent="0.3">
      <c r="A104" s="25"/>
      <c r="B104"/>
      <c r="C104"/>
      <c r="D104" s="73"/>
      <c r="E104" s="76"/>
      <c r="F104" s="73"/>
    </row>
    <row r="105" spans="1:6" s="74" customFormat="1" ht="14.4" x14ac:dyDescent="0.3">
      <c r="A105" s="25" t="s">
        <v>102</v>
      </c>
      <c r="B105" s="69"/>
      <c r="C105" s="29" t="str">
        <f>Currency</f>
        <v>FCFA</v>
      </c>
      <c r="D105" s="71"/>
      <c r="E105" s="72" t="s">
        <v>164</v>
      </c>
      <c r="F105" s="73"/>
    </row>
    <row r="106" spans="1:6" s="74" customFormat="1" ht="14.4" x14ac:dyDescent="0.3">
      <c r="A106" s="25" t="s">
        <v>103</v>
      </c>
      <c r="B106" s="69"/>
      <c r="C106" s="29" t="str">
        <f>Currency</f>
        <v>FCFA</v>
      </c>
      <c r="D106" s="71"/>
      <c r="E106" s="75"/>
      <c r="F106" s="73"/>
    </row>
    <row r="107" spans="1:6" s="74" customFormat="1" ht="14.4" x14ac:dyDescent="0.3">
      <c r="A107" s="25" t="s">
        <v>104</v>
      </c>
      <c r="B107" s="69"/>
      <c r="C107" s="29" t="str">
        <f>Currency</f>
        <v>FCFA</v>
      </c>
      <c r="D107" s="71"/>
      <c r="E107" s="75"/>
      <c r="F107" s="73"/>
    </row>
    <row r="108" spans="1:6" s="74" customFormat="1" ht="14.4" x14ac:dyDescent="0.3">
      <c r="A108" s="25" t="s">
        <v>105</v>
      </c>
      <c r="B108" s="69"/>
      <c r="C108" s="29" t="str">
        <f>Currency</f>
        <v>FCFA</v>
      </c>
      <c r="D108" s="71"/>
      <c r="E108" s="75"/>
      <c r="F108" s="73"/>
    </row>
    <row r="109" spans="1:6" s="74" customFormat="1" ht="14.4" x14ac:dyDescent="0.3">
      <c r="A109" s="25"/>
      <c r="B109"/>
      <c r="C109"/>
      <c r="D109" s="73"/>
      <c r="F109" s="73"/>
    </row>
    <row r="110" spans="1:6" s="74" customFormat="1" ht="14.4" x14ac:dyDescent="0.3">
      <c r="A110" s="25" t="s">
        <v>106</v>
      </c>
      <c r="B110" s="69"/>
      <c r="C110" t="str">
        <f>Currency&amp;"/kWh"</f>
        <v>FCFA/kWh</v>
      </c>
      <c r="D110" s="71"/>
      <c r="E110" s="72" t="s">
        <v>107</v>
      </c>
      <c r="F110" s="73"/>
    </row>
    <row r="111" spans="1:6" s="74" customFormat="1" ht="14.4" x14ac:dyDescent="0.3">
      <c r="A111" s="25" t="s">
        <v>108</v>
      </c>
      <c r="B111" s="69"/>
      <c r="C111" t="str">
        <f>Currency&amp;"/kWh"</f>
        <v>FCFA/kWh</v>
      </c>
      <c r="D111" s="71"/>
      <c r="E111" s="72" t="s">
        <v>109</v>
      </c>
      <c r="F111" s="73"/>
    </row>
    <row r="112" spans="1:6" s="74" customFormat="1" x14ac:dyDescent="0.25">
      <c r="A112" s="25"/>
      <c r="B112" s="77"/>
      <c r="C112" s="78"/>
      <c r="D112" s="73"/>
      <c r="F112" s="73"/>
    </row>
    <row r="128" spans="1:1" x14ac:dyDescent="0.25">
      <c r="A128" s="80"/>
    </row>
    <row r="129" spans="1:10" x14ac:dyDescent="0.25">
      <c r="A129" s="81"/>
      <c r="B129" s="82"/>
      <c r="C129" s="82"/>
      <c r="D129" s="82"/>
      <c r="E129" s="82"/>
      <c r="F129" s="82"/>
      <c r="G129" s="82"/>
      <c r="H129" s="82"/>
      <c r="I129" s="82"/>
      <c r="J129" s="82"/>
    </row>
    <row r="130" spans="1:10" x14ac:dyDescent="0.25">
      <c r="B130" s="82"/>
      <c r="C130" s="82"/>
      <c r="D130" s="82"/>
      <c r="E130" s="82"/>
      <c r="F130" s="82"/>
      <c r="G130" s="82"/>
      <c r="H130" s="82"/>
      <c r="I130" s="82"/>
      <c r="J130" s="82"/>
    </row>
    <row r="131" spans="1:10" x14ac:dyDescent="0.25">
      <c r="A131" s="80"/>
    </row>
    <row r="132" spans="1:10" x14ac:dyDescent="0.25">
      <c r="A132" s="81"/>
      <c r="B132" s="82"/>
      <c r="C132" s="82"/>
      <c r="D132" s="82"/>
      <c r="E132" s="82"/>
      <c r="F132" s="82"/>
      <c r="G132" s="82"/>
      <c r="H132" s="82"/>
    </row>
    <row r="133" spans="1:10" x14ac:dyDescent="0.25">
      <c r="B133" s="82"/>
      <c r="C133" s="82"/>
      <c r="D133" s="82"/>
      <c r="E133" s="82"/>
      <c r="F133" s="82"/>
      <c r="G133" s="82"/>
      <c r="H133" s="82"/>
    </row>
    <row r="134" spans="1:10" x14ac:dyDescent="0.25">
      <c r="A134" s="80"/>
    </row>
    <row r="135" spans="1:10" x14ac:dyDescent="0.25">
      <c r="A135" s="81"/>
      <c r="B135" s="82"/>
      <c r="C135" s="82"/>
      <c r="D135" s="82"/>
      <c r="E135" s="82"/>
      <c r="F135" s="82"/>
      <c r="G135" s="82"/>
    </row>
    <row r="136" spans="1:10" x14ac:dyDescent="0.25">
      <c r="B136" s="82"/>
      <c r="C136" s="82"/>
      <c r="D136" s="82"/>
      <c r="E136" s="82"/>
      <c r="F136" s="82"/>
      <c r="G136" s="82"/>
    </row>
    <row r="137" spans="1:10" x14ac:dyDescent="0.25">
      <c r="A137" s="80"/>
    </row>
    <row r="138" spans="1:10" x14ac:dyDescent="0.25">
      <c r="A138" s="81"/>
      <c r="B138" s="82"/>
      <c r="C138" s="82"/>
      <c r="D138" s="82"/>
      <c r="E138" s="82"/>
      <c r="F138" s="82"/>
      <c r="G138" s="82"/>
      <c r="H138" s="82"/>
    </row>
    <row r="139" spans="1:10" x14ac:dyDescent="0.25">
      <c r="B139" s="82"/>
      <c r="C139" s="82"/>
      <c r="D139" s="82"/>
      <c r="E139" s="82"/>
      <c r="F139" s="82"/>
      <c r="G139" s="82"/>
      <c r="H139" s="82"/>
    </row>
    <row r="140" spans="1:10" x14ac:dyDescent="0.25">
      <c r="B140" s="79"/>
      <c r="C140" s="79"/>
      <c r="D140" s="79"/>
      <c r="E140" s="79"/>
      <c r="F140" s="79"/>
      <c r="G140" s="79"/>
      <c r="H140" s="79"/>
    </row>
    <row r="141" spans="1:10" x14ac:dyDescent="0.25">
      <c r="B141" s="79"/>
      <c r="C141" s="79"/>
      <c r="D141" s="79"/>
      <c r="E141" s="79"/>
      <c r="F141" s="79"/>
      <c r="G141" s="79"/>
      <c r="H141" s="79"/>
    </row>
    <row r="142" spans="1:10" x14ac:dyDescent="0.25">
      <c r="B142" s="79"/>
      <c r="C142" s="79"/>
      <c r="D142" s="79"/>
      <c r="E142" s="79"/>
      <c r="F142" s="79"/>
      <c r="G142" s="79"/>
      <c r="H142" s="79"/>
    </row>
    <row r="143" spans="1:10" x14ac:dyDescent="0.25">
      <c r="B143" s="79"/>
      <c r="C143" s="79"/>
      <c r="D143" s="79"/>
      <c r="E143" s="79"/>
      <c r="F143" s="79"/>
      <c r="G143" s="79"/>
      <c r="H143" s="79"/>
    </row>
    <row r="144" spans="1:10" x14ac:dyDescent="0.25">
      <c r="B144" s="79"/>
      <c r="C144" s="79"/>
      <c r="D144" s="79"/>
      <c r="E144" s="79"/>
      <c r="F144" s="79"/>
      <c r="G144" s="79"/>
      <c r="H144" s="79"/>
    </row>
    <row r="145" spans="2:8" x14ac:dyDescent="0.25">
      <c r="B145" s="79"/>
      <c r="C145" s="79"/>
      <c r="D145" s="79"/>
      <c r="E145" s="79"/>
      <c r="F145" s="79"/>
      <c r="G145" s="79"/>
      <c r="H145" s="79"/>
    </row>
    <row r="146" spans="2:8" x14ac:dyDescent="0.25">
      <c r="B146" s="79"/>
      <c r="C146" s="79"/>
      <c r="D146" s="79"/>
      <c r="E146" s="79"/>
      <c r="F146" s="79"/>
      <c r="G146" s="79"/>
      <c r="H146" s="79"/>
    </row>
    <row r="147" spans="2:8" x14ac:dyDescent="0.25">
      <c r="B147" s="79"/>
      <c r="C147" s="79"/>
      <c r="D147" s="79"/>
      <c r="E147" s="79"/>
      <c r="F147" s="79"/>
      <c r="G147" s="79"/>
      <c r="H147" s="79"/>
    </row>
    <row r="148" spans="2:8" x14ac:dyDescent="0.25">
      <c r="B148" s="79"/>
      <c r="C148" s="79"/>
      <c r="D148" s="79"/>
      <c r="E148" s="79"/>
      <c r="F148" s="79"/>
      <c r="G148" s="79"/>
      <c r="H148" s="79"/>
    </row>
    <row r="149" spans="2:8" x14ac:dyDescent="0.25">
      <c r="B149" s="79"/>
      <c r="C149" s="79"/>
      <c r="D149" s="79"/>
      <c r="E149" s="79"/>
      <c r="F149" s="79"/>
      <c r="G149" s="79"/>
      <c r="H149" s="79"/>
    </row>
    <row r="150" spans="2:8" x14ac:dyDescent="0.25">
      <c r="B150" s="79"/>
      <c r="C150" s="79"/>
      <c r="D150" s="79"/>
      <c r="E150" s="79"/>
      <c r="F150" s="79"/>
      <c r="G150" s="79"/>
      <c r="H150" s="79"/>
    </row>
    <row r="151" spans="2:8" x14ac:dyDescent="0.25">
      <c r="B151" s="79"/>
      <c r="C151" s="79"/>
      <c r="D151" s="79"/>
      <c r="E151" s="79"/>
      <c r="F151" s="79"/>
      <c r="G151" s="79"/>
      <c r="H151" s="79"/>
    </row>
    <row r="152" spans="2:8" x14ac:dyDescent="0.25">
      <c r="B152" s="79"/>
      <c r="C152" s="79"/>
      <c r="D152" s="79"/>
      <c r="E152" s="79"/>
      <c r="F152" s="79"/>
      <c r="G152" s="79"/>
      <c r="H152" s="79"/>
    </row>
    <row r="153" spans="2:8" x14ac:dyDescent="0.25">
      <c r="B153" s="79"/>
      <c r="C153" s="79"/>
      <c r="D153" s="79"/>
      <c r="E153" s="79"/>
      <c r="F153" s="79"/>
      <c r="G153" s="79"/>
      <c r="H153" s="79"/>
    </row>
    <row r="154" spans="2:8" x14ac:dyDescent="0.25">
      <c r="B154" s="79"/>
      <c r="C154" s="79"/>
      <c r="D154" s="79"/>
      <c r="E154" s="79"/>
      <c r="F154" s="79"/>
      <c r="G154" s="79"/>
      <c r="H154" s="79"/>
    </row>
    <row r="155" spans="2:8" x14ac:dyDescent="0.25">
      <c r="B155" s="79"/>
      <c r="C155" s="79"/>
      <c r="D155" s="79"/>
      <c r="E155" s="79"/>
      <c r="F155" s="79"/>
      <c r="G155" s="79"/>
      <c r="H155" s="79"/>
    </row>
    <row r="156" spans="2:8" x14ac:dyDescent="0.25">
      <c r="B156" s="79"/>
      <c r="C156" s="79"/>
      <c r="D156" s="79"/>
      <c r="E156" s="79"/>
      <c r="F156" s="79"/>
      <c r="G156" s="79"/>
      <c r="H156" s="79"/>
    </row>
    <row r="157" spans="2:8" x14ac:dyDescent="0.25">
      <c r="B157" s="79"/>
      <c r="C157" s="79"/>
      <c r="D157" s="79"/>
      <c r="E157" s="79"/>
      <c r="F157" s="79"/>
      <c r="G157" s="79"/>
      <c r="H157" s="79"/>
    </row>
    <row r="158" spans="2:8" x14ac:dyDescent="0.25">
      <c r="B158" s="79"/>
      <c r="C158" s="79"/>
      <c r="D158" s="79"/>
      <c r="E158" s="79"/>
      <c r="F158" s="79"/>
      <c r="G158" s="79"/>
      <c r="H158" s="79"/>
    </row>
    <row r="159" spans="2:8" x14ac:dyDescent="0.25">
      <c r="B159" s="79"/>
      <c r="C159" s="79"/>
      <c r="D159" s="79"/>
      <c r="E159" s="79"/>
      <c r="F159" s="79"/>
      <c r="G159" s="79"/>
      <c r="H159" s="79"/>
    </row>
    <row r="160" spans="2:8" x14ac:dyDescent="0.25">
      <c r="B160" s="79"/>
      <c r="C160" s="79"/>
      <c r="D160" s="79"/>
      <c r="E160" s="79"/>
      <c r="F160" s="79"/>
      <c r="G160" s="79"/>
      <c r="H160" s="79"/>
    </row>
    <row r="161" spans="2:8" x14ac:dyDescent="0.25">
      <c r="B161" s="79"/>
      <c r="C161" s="79"/>
      <c r="D161" s="79"/>
      <c r="E161" s="79"/>
      <c r="F161" s="79"/>
      <c r="G161" s="79"/>
      <c r="H161" s="79"/>
    </row>
    <row r="162" spans="2:8" x14ac:dyDescent="0.25">
      <c r="B162" s="79"/>
      <c r="C162" s="79"/>
      <c r="D162" s="79"/>
      <c r="E162" s="79"/>
      <c r="F162" s="79"/>
      <c r="G162" s="79"/>
      <c r="H162" s="79"/>
    </row>
    <row r="163" spans="2:8" x14ac:dyDescent="0.25">
      <c r="B163" s="79"/>
      <c r="C163" s="79"/>
      <c r="D163" s="79"/>
      <c r="E163" s="79"/>
      <c r="F163" s="79"/>
      <c r="G163" s="79"/>
      <c r="H163" s="79"/>
    </row>
    <row r="164" spans="2:8" x14ac:dyDescent="0.25">
      <c r="B164" s="79"/>
      <c r="C164" s="79"/>
      <c r="D164" s="79"/>
      <c r="E164" s="79"/>
      <c r="F164" s="79"/>
      <c r="G164" s="79"/>
      <c r="H164" s="79"/>
    </row>
  </sheetData>
  <sheetProtection sheet="1" objects="1" scenarios="1"/>
  <conditionalFormatting sqref="B77">
    <cfRule type="containsText" dxfId="1" priority="3" operator="containsText" text="oui">
      <formula>NOT(ISERROR(SEARCH("oui",B77)))</formula>
    </cfRule>
  </conditionalFormatting>
  <conditionalFormatting sqref="B92">
    <cfRule type="containsText" dxfId="0" priority="2" operator="containsText" text="non">
      <formula>NOT(ISERROR(SEARCH("non",B92)))</formula>
    </cfRule>
  </conditionalFormatting>
  <dataValidations disablePrompts="1" count="2">
    <dataValidation type="decimal" allowBlank="1" showInputMessage="1" showErrorMessage="1" sqref="D94 D97 B94 B112:D112 D99:D111" xr:uid="{00000000-0002-0000-0400-000000000000}">
      <formula1>0</formula1>
      <formula2>1</formula2>
    </dataValidation>
    <dataValidation type="whole" allowBlank="1" showInputMessage="1" showErrorMessage="1" error="max 3 years" sqref="B61 B65 B74" xr:uid="{00000000-0002-0000-0400-000001000000}">
      <formula1>0</formula1>
      <formula2>3</formula2>
    </dataValidation>
  </dataValidations>
  <pageMargins left="0.7" right="0.7" top="0.75" bottom="0.75" header="0.3" footer="0.3"/>
  <pageSetup paperSize="9" scale="4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M34"/>
  <sheetViews>
    <sheetView topLeftCell="A22" zoomScale="130" zoomScaleNormal="130" workbookViewId="0">
      <selection activeCell="A40" sqref="A40"/>
    </sheetView>
  </sheetViews>
  <sheetFormatPr baseColWidth="10" defaultColWidth="11.5546875" defaultRowHeight="14.4" x14ac:dyDescent="0.3"/>
  <cols>
    <col min="1" max="1" width="22.77734375" customWidth="1"/>
    <col min="2" max="2" width="8.6640625" customWidth="1"/>
    <col min="3" max="6" width="13.109375" customWidth="1"/>
    <col min="7" max="12" width="9.44140625" customWidth="1"/>
  </cols>
  <sheetData>
    <row r="1" spans="1:1" ht="18" x14ac:dyDescent="0.35">
      <c r="A1" s="100" t="s">
        <v>181</v>
      </c>
    </row>
    <row r="22" spans="1:13" s="198" customFormat="1" ht="82.8" x14ac:dyDescent="0.3">
      <c r="A22" s="195" t="s">
        <v>182</v>
      </c>
      <c r="B22" s="196" t="s">
        <v>188</v>
      </c>
      <c r="C22" s="196" t="s">
        <v>189</v>
      </c>
      <c r="D22" s="196" t="s">
        <v>191</v>
      </c>
      <c r="E22" s="196" t="s">
        <v>372</v>
      </c>
      <c r="F22" s="196" t="s">
        <v>190</v>
      </c>
      <c r="G22" s="197" t="s">
        <v>193</v>
      </c>
      <c r="H22" s="197" t="s">
        <v>194</v>
      </c>
      <c r="I22" s="197" t="s">
        <v>192</v>
      </c>
      <c r="J22" s="197" t="s">
        <v>195</v>
      </c>
      <c r="K22" s="196" t="s">
        <v>197</v>
      </c>
      <c r="L22" s="196" t="s">
        <v>373</v>
      </c>
      <c r="M22" s="269" t="s">
        <v>374</v>
      </c>
    </row>
    <row r="23" spans="1:13" x14ac:dyDescent="0.3">
      <c r="A23" s="190" t="s">
        <v>375</v>
      </c>
      <c r="B23" s="191">
        <f>+Energie!D36</f>
        <v>20</v>
      </c>
      <c r="C23" s="192">
        <f>6*12*B23</f>
        <v>1440</v>
      </c>
      <c r="D23" s="191">
        <v>200</v>
      </c>
      <c r="E23" s="191">
        <v>1000</v>
      </c>
      <c r="F23" s="191"/>
      <c r="G23" s="193">
        <f t="shared" ref="G23:G31" si="0">IF(B23=0,0,+NB_ABONNE*PF_recouvrement*12)</f>
        <v>48000</v>
      </c>
      <c r="H23" s="193">
        <f t="shared" ref="H23:H31" si="1">IF(NB_ABONNE=0,0,+NB_ABONNE*PF_Amperage*12)</f>
        <v>240000</v>
      </c>
      <c r="I23" s="193">
        <v>0</v>
      </c>
      <c r="J23" s="193">
        <f>SUM(G23:I23)</f>
        <v>288000</v>
      </c>
      <c r="K23" s="190"/>
      <c r="L23" s="193">
        <f>+J23/C23</f>
        <v>200</v>
      </c>
      <c r="M23" s="193">
        <f>+D23+E23+F23*C23/12</f>
        <v>1200</v>
      </c>
    </row>
    <row r="24" spans="1:13" x14ac:dyDescent="0.3">
      <c r="A24" s="190" t="s">
        <v>376</v>
      </c>
      <c r="B24" s="191">
        <f>+Energie!D37</f>
        <v>0</v>
      </c>
      <c r="C24" s="192"/>
      <c r="D24" s="191">
        <v>200</v>
      </c>
      <c r="E24" s="191"/>
      <c r="F24" s="191"/>
      <c r="G24" s="193">
        <f t="shared" ref="G24:G26" si="2">IF(B24=0,0,+NB_ABONNE*PF_recouvrement*12)</f>
        <v>0</v>
      </c>
      <c r="H24" s="193">
        <f t="shared" si="1"/>
        <v>0</v>
      </c>
      <c r="I24" s="193">
        <v>0</v>
      </c>
      <c r="J24" s="193">
        <f t="shared" ref="J24:J26" si="3">SUM(G24:I24)</f>
        <v>0</v>
      </c>
      <c r="K24" s="190"/>
      <c r="L24" s="193" t="e">
        <f t="shared" ref="L24:L26" si="4">+J24/C24</f>
        <v>#DIV/0!</v>
      </c>
      <c r="M24" s="193">
        <f t="shared" ref="M24:M26" si="5">+D24+E24+F24*C24/12</f>
        <v>200</v>
      </c>
    </row>
    <row r="25" spans="1:13" x14ac:dyDescent="0.3">
      <c r="A25" s="190" t="s">
        <v>377</v>
      </c>
      <c r="B25" s="191">
        <f>+Energie!D38</f>
        <v>0</v>
      </c>
      <c r="C25" s="192"/>
      <c r="D25" s="191">
        <v>200</v>
      </c>
      <c r="E25" s="191"/>
      <c r="F25" s="191"/>
      <c r="G25" s="193">
        <f t="shared" si="2"/>
        <v>0</v>
      </c>
      <c r="H25" s="193">
        <f t="shared" si="1"/>
        <v>0</v>
      </c>
      <c r="I25" s="193">
        <v>0</v>
      </c>
      <c r="J25" s="193">
        <f t="shared" si="3"/>
        <v>0</v>
      </c>
      <c r="K25" s="190"/>
      <c r="L25" s="193" t="e">
        <f t="shared" si="4"/>
        <v>#DIV/0!</v>
      </c>
      <c r="M25" s="193">
        <f t="shared" si="5"/>
        <v>200</v>
      </c>
    </row>
    <row r="26" spans="1:13" x14ac:dyDescent="0.3">
      <c r="A26" s="190" t="s">
        <v>378</v>
      </c>
      <c r="B26" s="191">
        <f>+Energie!D39</f>
        <v>0</v>
      </c>
      <c r="C26" s="192"/>
      <c r="D26" s="191">
        <v>200</v>
      </c>
      <c r="E26" s="191"/>
      <c r="F26" s="191"/>
      <c r="G26" s="193">
        <f t="shared" si="2"/>
        <v>0</v>
      </c>
      <c r="H26" s="193">
        <f t="shared" si="1"/>
        <v>0</v>
      </c>
      <c r="I26" s="193">
        <v>0</v>
      </c>
      <c r="J26" s="193">
        <f t="shared" si="3"/>
        <v>0</v>
      </c>
      <c r="K26" s="190"/>
      <c r="L26" s="193" t="e">
        <f t="shared" si="4"/>
        <v>#DIV/0!</v>
      </c>
      <c r="M26" s="193">
        <f t="shared" si="5"/>
        <v>200</v>
      </c>
    </row>
    <row r="27" spans="1:13" x14ac:dyDescent="0.3">
      <c r="A27" s="190" t="s">
        <v>183</v>
      </c>
      <c r="B27" s="191">
        <f>+'calcul de demande journalière'!C3</f>
        <v>20</v>
      </c>
      <c r="C27" s="192">
        <f>+Energie!D20</f>
        <v>1440</v>
      </c>
      <c r="D27" s="191">
        <v>200</v>
      </c>
      <c r="E27" s="191">
        <v>300</v>
      </c>
      <c r="F27" s="191">
        <v>110</v>
      </c>
      <c r="G27" s="193">
        <f t="shared" si="0"/>
        <v>48000</v>
      </c>
      <c r="H27" s="193">
        <f t="shared" si="1"/>
        <v>72000</v>
      </c>
      <c r="I27" s="193">
        <f>+Tarif_Variable_FCFA_kWh*consommation_annuelle</f>
        <v>158400</v>
      </c>
      <c r="J27" s="193">
        <f t="shared" ref="J27:J31" si="6">SUM(G27:I27)</f>
        <v>278400</v>
      </c>
      <c r="K27" s="194">
        <f>+IF(NB_ABONNE=0,0,(G27+H27)/J27)</f>
        <v>0.43103448275862066</v>
      </c>
      <c r="L27" s="193">
        <f>+J27/C27</f>
        <v>193.33333333333334</v>
      </c>
      <c r="M27" s="193">
        <f>+D27+E27+F27*C27/12/B27</f>
        <v>1160</v>
      </c>
    </row>
    <row r="28" spans="1:13" x14ac:dyDescent="0.3">
      <c r="A28" s="190" t="s">
        <v>184</v>
      </c>
      <c r="B28" s="191">
        <f>+'calcul de demande journalière'!C4</f>
        <v>35</v>
      </c>
      <c r="C28" s="192">
        <f>+Energie!D21</f>
        <v>6300</v>
      </c>
      <c r="D28" s="191">
        <v>200</v>
      </c>
      <c r="E28" s="191">
        <v>1000</v>
      </c>
      <c r="F28" s="191">
        <v>110</v>
      </c>
      <c r="G28" s="193">
        <f t="shared" si="0"/>
        <v>84000</v>
      </c>
      <c r="H28" s="193">
        <f t="shared" si="1"/>
        <v>420000</v>
      </c>
      <c r="I28" s="193">
        <f>+Tarif_Variable_FCFA_kWh*consommation_annuelle</f>
        <v>693000</v>
      </c>
      <c r="J28" s="193">
        <f t="shared" si="6"/>
        <v>1197000</v>
      </c>
      <c r="K28" s="194">
        <f>+IF(NB_ABONNE=0,0,(G28+H28)/J28)</f>
        <v>0.42105263157894735</v>
      </c>
      <c r="L28" s="193">
        <f t="shared" ref="L28:L31" si="7">+J28/C28</f>
        <v>190</v>
      </c>
      <c r="M28" s="193">
        <f t="shared" ref="M28:M30" si="8">+D28+E28+F28*C28/12/B28</f>
        <v>2850</v>
      </c>
    </row>
    <row r="29" spans="1:13" x14ac:dyDescent="0.3">
      <c r="A29" s="190" t="s">
        <v>185</v>
      </c>
      <c r="B29" s="191">
        <f>+'calcul de demande journalière'!C5</f>
        <v>35</v>
      </c>
      <c r="C29" s="192">
        <f>+Energie!D22</f>
        <v>14741.999999999998</v>
      </c>
      <c r="D29" s="191">
        <v>200</v>
      </c>
      <c r="E29" s="191">
        <v>3500</v>
      </c>
      <c r="F29" s="191">
        <v>130</v>
      </c>
      <c r="G29" s="193">
        <f t="shared" si="0"/>
        <v>84000</v>
      </c>
      <c r="H29" s="193">
        <f t="shared" si="1"/>
        <v>1470000</v>
      </c>
      <c r="I29" s="193">
        <f>+Tarif_Variable_FCFA_kWh*consommation_annuelle</f>
        <v>1916459.9999999998</v>
      </c>
      <c r="J29" s="193">
        <f t="shared" si="6"/>
        <v>3470460</v>
      </c>
      <c r="K29" s="194">
        <f>+IF(NB_ABONNE=0,0,(G29+H29)/J29)</f>
        <v>0.44777925692847637</v>
      </c>
      <c r="L29" s="193">
        <f t="shared" si="7"/>
        <v>235.41310541310546</v>
      </c>
      <c r="M29" s="193">
        <f t="shared" si="8"/>
        <v>8263</v>
      </c>
    </row>
    <row r="30" spans="1:13" x14ac:dyDescent="0.3">
      <c r="A30" s="190" t="s">
        <v>186</v>
      </c>
      <c r="B30" s="191">
        <f>+'calcul de demande journalière'!C6</f>
        <v>20</v>
      </c>
      <c r="C30" s="192">
        <f>+Energie!D23</f>
        <v>16776</v>
      </c>
      <c r="D30" s="191">
        <v>200</v>
      </c>
      <c r="E30" s="191">
        <v>7000</v>
      </c>
      <c r="F30" s="191">
        <v>130</v>
      </c>
      <c r="G30" s="193">
        <f t="shared" si="0"/>
        <v>48000</v>
      </c>
      <c r="H30" s="193">
        <f t="shared" si="1"/>
        <v>1680000</v>
      </c>
      <c r="I30" s="193">
        <f>+Tarif_Variable_FCFA_kWh*consommation_annuelle</f>
        <v>2180880</v>
      </c>
      <c r="J30" s="193">
        <f t="shared" si="6"/>
        <v>3908880</v>
      </c>
      <c r="K30" s="194">
        <f>+IF(NB_ABONNE=0,0,(G30+H30)/J30)</f>
        <v>0.44207036286608953</v>
      </c>
      <c r="L30" s="193">
        <f t="shared" si="7"/>
        <v>233.00429184549355</v>
      </c>
      <c r="M30" s="193">
        <f t="shared" si="8"/>
        <v>16287</v>
      </c>
    </row>
    <row r="31" spans="1:13" x14ac:dyDescent="0.3">
      <c r="A31" s="190" t="s">
        <v>187</v>
      </c>
      <c r="B31" s="191">
        <f>+'calcul de demande journalière'!C7</f>
        <v>5</v>
      </c>
      <c r="C31" s="192">
        <f>+Energie!D24</f>
        <v>9000</v>
      </c>
      <c r="D31" s="191">
        <v>200</v>
      </c>
      <c r="E31" s="191">
        <v>10000</v>
      </c>
      <c r="F31" s="191">
        <v>120</v>
      </c>
      <c r="G31" s="193">
        <f t="shared" si="0"/>
        <v>12000</v>
      </c>
      <c r="H31" s="193">
        <f t="shared" si="1"/>
        <v>600000</v>
      </c>
      <c r="I31" s="193">
        <f>+Tarif_Variable_FCFA_kWh*consommation_annuelle</f>
        <v>1080000</v>
      </c>
      <c r="J31" s="193">
        <f t="shared" si="6"/>
        <v>1692000</v>
      </c>
      <c r="K31" s="194">
        <f>+IF(NB_ABONNE=0,0,(G31+H31)/J31)</f>
        <v>0.36170212765957449</v>
      </c>
      <c r="L31" s="193">
        <f t="shared" si="7"/>
        <v>188</v>
      </c>
      <c r="M31" s="193">
        <f>+D31+E31+F31*C31/12/B31</f>
        <v>28200</v>
      </c>
    </row>
    <row r="32" spans="1:13" x14ac:dyDescent="0.3">
      <c r="A32" s="189" t="s">
        <v>141</v>
      </c>
      <c r="B32" s="190">
        <f>SUM(B23:B31)</f>
        <v>135</v>
      </c>
      <c r="C32" s="193">
        <f>SUM(C23:C31)</f>
        <v>49698</v>
      </c>
      <c r="D32" s="190"/>
      <c r="E32" s="190"/>
      <c r="F32" s="190"/>
      <c r="G32" s="193">
        <f>SUM(G23:G31)</f>
        <v>324000</v>
      </c>
      <c r="H32" s="193">
        <f t="shared" ref="H32:I32" si="9">SUM(H23:H31)</f>
        <v>4482000</v>
      </c>
      <c r="I32" s="193">
        <f t="shared" si="9"/>
        <v>6028740</v>
      </c>
      <c r="J32" s="193">
        <f>SUM(J23:J31)</f>
        <v>10834740</v>
      </c>
      <c r="K32" s="140"/>
    </row>
    <row r="34" spans="1:3" x14ac:dyDescent="0.3">
      <c r="A34" s="98" t="s">
        <v>196</v>
      </c>
      <c r="B34" s="99">
        <f>+J32/C32</f>
        <v>218.01159000362188</v>
      </c>
      <c r="C34" s="98" t="s">
        <v>198</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24</vt:i4>
      </vt:variant>
    </vt:vector>
  </HeadingPairs>
  <TitlesOfParts>
    <vt:vector size="31" baseType="lpstr">
      <vt:lpstr>Titre</vt:lpstr>
      <vt:lpstr>Dimensionnement</vt:lpstr>
      <vt:lpstr>calcul de demande journalière</vt:lpstr>
      <vt:lpstr>Energie</vt:lpstr>
      <vt:lpstr>CAPEX</vt:lpstr>
      <vt:lpstr>Hypothèses détaillées</vt:lpstr>
      <vt:lpstr>Tarif </vt:lpstr>
      <vt:lpstr>COEFF_FOISON</vt:lpstr>
      <vt:lpstr>consommation_annuelle</vt:lpstr>
      <vt:lpstr>Currency</vt:lpstr>
      <vt:lpstr>Currency2</vt:lpstr>
      <vt:lpstr>DEMANDE_T1_KWH_JOUR</vt:lpstr>
      <vt:lpstr>DEMANDE_T2_KWH_JOUR</vt:lpstr>
      <vt:lpstr>DEMANDE_T3_KWH_JOUR</vt:lpstr>
      <vt:lpstr>DEMANDE_T4_KWH_JOUR</vt:lpstr>
      <vt:lpstr>DEMANDE_T5_KWH_JOUR</vt:lpstr>
      <vt:lpstr>DEMANDE_TOTALE_KWH_JOUR</vt:lpstr>
      <vt:lpstr>ExchRate</vt:lpstr>
      <vt:lpstr>Grant</vt:lpstr>
      <vt:lpstr>Grant_reinvest</vt:lpstr>
      <vt:lpstr>Energie!Impression_des_titres</vt:lpstr>
      <vt:lpstr>Inflation</vt:lpstr>
      <vt:lpstr>NB_ABONNE</vt:lpstr>
      <vt:lpstr>NB_MEN</vt:lpstr>
      <vt:lpstr>PF_Amperage</vt:lpstr>
      <vt:lpstr>PF_recouvrement</vt:lpstr>
      <vt:lpstr>Tarif_Variable_FCFA_kWh</vt:lpstr>
      <vt:lpstr>CAPEX!Zone_d_impression</vt:lpstr>
      <vt:lpstr>Energie!Zone_d_impression</vt:lpstr>
      <vt:lpstr>'Hypothèses détaillées'!Zone_d_impression</vt:lpstr>
      <vt:lpstr>Titre!Zone_d_impression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dc:creator>
  <cp:lastModifiedBy>LAUDE Jean-Paul</cp:lastModifiedBy>
  <cp:lastPrinted>2019-05-21T17:53:01Z</cp:lastPrinted>
  <dcterms:created xsi:type="dcterms:W3CDTF">2019-05-16T19:08:55Z</dcterms:created>
  <dcterms:modified xsi:type="dcterms:W3CDTF">2020-03-16T15:55:44Z</dcterms:modified>
</cp:coreProperties>
</file>